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comments4.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66925"/>
  <mc:AlternateContent xmlns:mc="http://schemas.openxmlformats.org/markup-compatibility/2006">
    <mc:Choice Requires="x15">
      <x15ac:absPath xmlns:x15ac="http://schemas.microsoft.com/office/spreadsheetml/2010/11/ac" url="D:\Document\Stage et TFE\"/>
    </mc:Choice>
  </mc:AlternateContent>
  <xr:revisionPtr revIDLastSave="0" documentId="10_ncr:8100000_{AC861A8A-CDA2-427F-A1D8-00C4F081C09B}" xr6:coauthVersionLast="34" xr6:coauthVersionMax="34" xr10:uidLastSave="{00000000-0000-0000-0000-000000000000}"/>
  <workbookProtection lockStructure="1"/>
  <bookViews>
    <workbookView xWindow="0" yWindow="0" windowWidth="20490" windowHeight="7460" tabRatio="672" xr2:uid="{00000000-000D-0000-FFFF-FFFF00000000}"/>
  </bookViews>
  <sheets>
    <sheet name="Accueil" sheetId="19" r:id="rId1"/>
    <sheet name="Introduction" sheetId="10" r:id="rId2"/>
    <sheet name="Assolement " sheetId="1" r:id="rId3"/>
    <sheet name="Récolte" sheetId="2" r:id="rId4"/>
    <sheet name="Pâturage" sheetId="11" r:id="rId5"/>
    <sheet name="Stock" sheetId="15" r:id="rId6"/>
    <sheet name="Production fourragère" sheetId="12" r:id="rId7"/>
    <sheet name="troupeaux laitier " sheetId="3" r:id="rId8"/>
    <sheet name="Troupeau viandeux" sheetId="4" r:id="rId9"/>
    <sheet name="taux de chargement" sheetId="18" r:id="rId10"/>
    <sheet name="Inventaire achast" sheetId="14" r:id="rId11"/>
    <sheet name="Récapitulatif achats" sheetId="5" r:id="rId12"/>
    <sheet name="Coûts de production" sheetId="6" r:id="rId13"/>
    <sheet name="Marge brute" sheetId="7" r:id="rId14"/>
    <sheet name="Résultats" sheetId="8" r:id="rId15"/>
    <sheet name="Annexe 1" sheetId="1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5" l="1"/>
  <c r="E7" i="5"/>
  <c r="E5" i="5"/>
  <c r="G15" i="14"/>
  <c r="G14" i="14"/>
  <c r="I15" i="14"/>
  <c r="I14" i="14"/>
  <c r="I22" i="14"/>
  <c r="I23" i="14"/>
  <c r="I24" i="14"/>
  <c r="I21" i="14"/>
  <c r="G22" i="14"/>
  <c r="G23" i="14"/>
  <c r="G24" i="14"/>
  <c r="G21" i="14"/>
  <c r="G25" i="14" s="1"/>
  <c r="G30" i="14"/>
  <c r="G31" i="14"/>
  <c r="G32" i="14"/>
  <c r="G33" i="14"/>
  <c r="G29" i="14"/>
  <c r="I30" i="14"/>
  <c r="I31" i="14"/>
  <c r="I32" i="14"/>
  <c r="I33" i="14"/>
  <c r="I29" i="14"/>
  <c r="I39" i="14"/>
  <c r="G39" i="14"/>
  <c r="I25" i="14" l="1"/>
  <c r="F7" i="5" s="1"/>
  <c r="G34" i="14"/>
  <c r="E8" i="5" s="1"/>
  <c r="I34" i="14"/>
  <c r="F8" i="5" s="1"/>
  <c r="D11" i="6"/>
  <c r="F10" i="2"/>
  <c r="L12" i="3"/>
  <c r="L11" i="3"/>
  <c r="L10" i="3"/>
  <c r="L9" i="3"/>
  <c r="K12" i="3"/>
  <c r="K11" i="3"/>
  <c r="K10" i="3"/>
  <c r="K9" i="3"/>
  <c r="J11" i="3"/>
  <c r="J12" i="3"/>
  <c r="J10" i="3"/>
  <c r="J9" i="3"/>
  <c r="F7" i="4"/>
  <c r="G7" i="4" s="1"/>
  <c r="G40" i="4"/>
  <c r="G39" i="4"/>
  <c r="G38" i="4"/>
  <c r="G37" i="4"/>
  <c r="G36" i="4"/>
  <c r="G35" i="4"/>
  <c r="G34" i="4"/>
  <c r="G33" i="4"/>
  <c r="G32" i="4"/>
  <c r="G31" i="4"/>
  <c r="H31" i="4"/>
  <c r="H7" i="4" l="1"/>
  <c r="D26" i="6"/>
  <c r="D25" i="6"/>
  <c r="D24" i="6"/>
  <c r="D19" i="6"/>
  <c r="C27" i="6"/>
  <c r="C7" i="7" s="1"/>
  <c r="D23" i="6"/>
  <c r="D12" i="6"/>
  <c r="D21" i="6"/>
  <c r="D20" i="6"/>
  <c r="D18" i="6"/>
  <c r="D17" i="6"/>
  <c r="D110" i="2" l="1"/>
  <c r="D30" i="2"/>
  <c r="D28" i="2"/>
  <c r="D22" i="6" s="1"/>
  <c r="D26" i="2"/>
  <c r="D24" i="2"/>
  <c r="D22" i="2"/>
  <c r="D20" i="2"/>
  <c r="D66" i="2"/>
  <c r="F30" i="2"/>
  <c r="H30" i="2" s="1"/>
  <c r="F29" i="2"/>
  <c r="E22" i="6" s="1"/>
  <c r="F28" i="2"/>
  <c r="H28" i="2" s="1"/>
  <c r="F27" i="2"/>
  <c r="F26" i="2"/>
  <c r="H26" i="2" s="1"/>
  <c r="F25" i="2"/>
  <c r="F24" i="2"/>
  <c r="H24" i="2" s="1"/>
  <c r="F23" i="2"/>
  <c r="E19" i="6" s="1"/>
  <c r="F22" i="2"/>
  <c r="H22" i="2" s="1"/>
  <c r="F21" i="2"/>
  <c r="E18" i="6" s="1"/>
  <c r="F19" i="2"/>
  <c r="F20" i="2"/>
  <c r="H20" i="2" s="1"/>
  <c r="F14" i="2"/>
  <c r="H14" i="2" s="1"/>
  <c r="F15" i="2"/>
  <c r="H15" i="2" s="1"/>
  <c r="F16" i="2"/>
  <c r="H16" i="2" s="1"/>
  <c r="F17" i="2"/>
  <c r="H17" i="2" s="1"/>
  <c r="F18" i="2"/>
  <c r="H18" i="2" s="1"/>
  <c r="F31" i="2"/>
  <c r="E23" i="6" s="1"/>
  <c r="F32" i="2"/>
  <c r="F33" i="2"/>
  <c r="F34" i="2"/>
  <c r="F35" i="2"/>
  <c r="F36" i="2"/>
  <c r="H36" i="2" s="1"/>
  <c r="F37" i="2"/>
  <c r="H37" i="2" s="1"/>
  <c r="F38" i="2"/>
  <c r="H38" i="2" s="1"/>
  <c r="F39" i="2"/>
  <c r="H39" i="2" s="1"/>
  <c r="F40" i="2"/>
  <c r="H40" i="2" s="1"/>
  <c r="F41" i="2"/>
  <c r="H41" i="2" s="1"/>
  <c r="F42" i="2"/>
  <c r="H42" i="2" s="1"/>
  <c r="F43" i="2"/>
  <c r="H43" i="2" s="1"/>
  <c r="F44" i="2"/>
  <c r="H44" i="2" s="1"/>
  <c r="F45" i="2"/>
  <c r="H45" i="2" s="1"/>
  <c r="F46" i="2"/>
  <c r="H46" i="2" s="1"/>
  <c r="F47" i="2"/>
  <c r="H47" i="2" s="1"/>
  <c r="F48" i="2"/>
  <c r="H48" i="2" s="1"/>
  <c r="F49" i="2"/>
  <c r="H49" i="2" s="1"/>
  <c r="F50" i="2"/>
  <c r="H50" i="2" s="1"/>
  <c r="F51" i="2"/>
  <c r="H51" i="2" s="1"/>
  <c r="F52" i="2"/>
  <c r="H52" i="2" s="1"/>
  <c r="F53" i="2"/>
  <c r="H53" i="2" s="1"/>
  <c r="F54" i="2"/>
  <c r="H54" i="2" s="1"/>
  <c r="F55" i="2"/>
  <c r="H55" i="2" s="1"/>
  <c r="F56" i="2"/>
  <c r="H56" i="2" s="1"/>
  <c r="F57" i="2"/>
  <c r="H57" i="2" s="1"/>
  <c r="F58" i="2"/>
  <c r="H58" i="2" s="1"/>
  <c r="F59" i="2"/>
  <c r="H59" i="2" s="1"/>
  <c r="F60" i="2"/>
  <c r="H60" i="2" s="1"/>
  <c r="F61" i="2"/>
  <c r="H61" i="2" s="1"/>
  <c r="F62" i="2"/>
  <c r="H62" i="2" s="1"/>
  <c r="F63" i="2"/>
  <c r="H63" i="2" s="1"/>
  <c r="F64" i="2"/>
  <c r="H64" i="2" s="1"/>
  <c r="F65" i="2"/>
  <c r="H65" i="2" s="1"/>
  <c r="F66" i="2"/>
  <c r="H66" i="2" s="1"/>
  <c r="F67" i="2"/>
  <c r="H67" i="2" s="1"/>
  <c r="F68" i="2"/>
  <c r="H68" i="2" s="1"/>
  <c r="F69" i="2"/>
  <c r="H69" i="2" s="1"/>
  <c r="F70" i="2"/>
  <c r="H70" i="2" s="1"/>
  <c r="F71" i="2"/>
  <c r="H71" i="2" s="1"/>
  <c r="F72" i="2"/>
  <c r="H72" i="2" s="1"/>
  <c r="F73" i="2"/>
  <c r="H73" i="2" s="1"/>
  <c r="F74" i="2"/>
  <c r="H74" i="2" s="1"/>
  <c r="F75" i="2"/>
  <c r="H75" i="2" s="1"/>
  <c r="F76" i="2"/>
  <c r="H76" i="2" s="1"/>
  <c r="F77" i="2"/>
  <c r="H77" i="2" s="1"/>
  <c r="F78" i="2"/>
  <c r="H78" i="2" s="1"/>
  <c r="F79" i="2"/>
  <c r="H79" i="2" s="1"/>
  <c r="F80" i="2"/>
  <c r="H80" i="2" s="1"/>
  <c r="F81" i="2"/>
  <c r="H81" i="2" s="1"/>
  <c r="F82" i="2"/>
  <c r="H82" i="2" s="1"/>
  <c r="F83" i="2"/>
  <c r="H83" i="2" s="1"/>
  <c r="F84" i="2"/>
  <c r="H84" i="2" s="1"/>
  <c r="F85" i="2"/>
  <c r="H85" i="2" s="1"/>
  <c r="F86" i="2"/>
  <c r="H86" i="2" s="1"/>
  <c r="F87" i="2"/>
  <c r="H87" i="2" s="1"/>
  <c r="F88" i="2"/>
  <c r="H88" i="2" s="1"/>
  <c r="F89" i="2"/>
  <c r="H89" i="2" s="1"/>
  <c r="F90" i="2"/>
  <c r="H90" i="2" s="1"/>
  <c r="F91" i="2"/>
  <c r="H91" i="2" s="1"/>
  <c r="F92" i="2"/>
  <c r="H92" i="2" s="1"/>
  <c r="F93" i="2"/>
  <c r="H93" i="2" s="1"/>
  <c r="F94" i="2"/>
  <c r="H94" i="2" s="1"/>
  <c r="F95" i="2"/>
  <c r="H95" i="2" s="1"/>
  <c r="F96" i="2"/>
  <c r="H96" i="2" s="1"/>
  <c r="F97" i="2"/>
  <c r="H97" i="2" s="1"/>
  <c r="F98" i="2"/>
  <c r="H98" i="2" s="1"/>
  <c r="F99" i="2"/>
  <c r="H99" i="2" s="1"/>
  <c r="F100" i="2"/>
  <c r="H100" i="2" s="1"/>
  <c r="F101" i="2"/>
  <c r="H101" i="2" s="1"/>
  <c r="F102" i="2"/>
  <c r="H102" i="2" s="1"/>
  <c r="F103" i="2"/>
  <c r="H103" i="2" s="1"/>
  <c r="F104" i="2"/>
  <c r="H104" i="2" s="1"/>
  <c r="F105" i="2"/>
  <c r="H105" i="2" s="1"/>
  <c r="F106" i="2"/>
  <c r="H106" i="2" s="1"/>
  <c r="F107" i="2"/>
  <c r="H107" i="2" s="1"/>
  <c r="F108" i="2"/>
  <c r="H108" i="2" s="1"/>
  <c r="F109" i="2"/>
  <c r="H109" i="2" s="1"/>
  <c r="J14" i="2" l="1"/>
  <c r="L14" i="2"/>
  <c r="J15" i="2"/>
  <c r="L15" i="2"/>
  <c r="L28" i="2"/>
  <c r="J28" i="2"/>
  <c r="J26" i="2"/>
  <c r="L26" i="2"/>
  <c r="L17" i="2"/>
  <c r="J17" i="2"/>
  <c r="L20" i="2"/>
  <c r="J20" i="2"/>
  <c r="L16" i="2"/>
  <c r="J16" i="2"/>
  <c r="L24" i="2"/>
  <c r="J24" i="2"/>
  <c r="L18" i="2"/>
  <c r="J18" i="2"/>
  <c r="L22" i="2"/>
  <c r="J22" i="2"/>
  <c r="L106" i="2"/>
  <c r="J106" i="2"/>
  <c r="L98" i="2"/>
  <c r="J98" i="2"/>
  <c r="L90" i="2"/>
  <c r="J90" i="2"/>
  <c r="L86" i="2"/>
  <c r="J86" i="2"/>
  <c r="L78" i="2"/>
  <c r="J78" i="2"/>
  <c r="L109" i="2"/>
  <c r="J109" i="2"/>
  <c r="L101" i="2"/>
  <c r="J101" i="2"/>
  <c r="L93" i="2"/>
  <c r="J93" i="2"/>
  <c r="L81" i="2"/>
  <c r="J81" i="2"/>
  <c r="L73" i="2"/>
  <c r="J73" i="2"/>
  <c r="L65" i="2"/>
  <c r="J65" i="2"/>
  <c r="L57" i="2"/>
  <c r="J57" i="2"/>
  <c r="L49" i="2"/>
  <c r="J49" i="2"/>
  <c r="L41" i="2"/>
  <c r="J41" i="2"/>
  <c r="L37" i="2"/>
  <c r="J37" i="2"/>
  <c r="L108" i="2"/>
  <c r="J108" i="2"/>
  <c r="L104" i="2"/>
  <c r="J104" i="2"/>
  <c r="L100" i="2"/>
  <c r="J100" i="2"/>
  <c r="J96" i="2"/>
  <c r="L96" i="2"/>
  <c r="L92" i="2"/>
  <c r="J92" i="2"/>
  <c r="L88" i="2"/>
  <c r="J88" i="2"/>
  <c r="L84" i="2"/>
  <c r="J84" i="2"/>
  <c r="J80" i="2"/>
  <c r="L80" i="2"/>
  <c r="L76" i="2"/>
  <c r="J76" i="2"/>
  <c r="J72" i="2"/>
  <c r="L72" i="2"/>
  <c r="J68" i="2"/>
  <c r="L68" i="2"/>
  <c r="J64" i="2"/>
  <c r="L64" i="2"/>
  <c r="J60" i="2"/>
  <c r="L60" i="2"/>
  <c r="J56" i="2"/>
  <c r="L56" i="2"/>
  <c r="J52" i="2"/>
  <c r="L52" i="2"/>
  <c r="J48" i="2"/>
  <c r="L48" i="2"/>
  <c r="J44" i="2"/>
  <c r="L44" i="2"/>
  <c r="J40" i="2"/>
  <c r="L40" i="2"/>
  <c r="J36" i="2"/>
  <c r="L36" i="2"/>
  <c r="L102" i="2"/>
  <c r="J102" i="2"/>
  <c r="L94" i="2"/>
  <c r="J94" i="2"/>
  <c r="L82" i="2"/>
  <c r="J82" i="2"/>
  <c r="L74" i="2"/>
  <c r="J74" i="2"/>
  <c r="L105" i="2"/>
  <c r="J105" i="2"/>
  <c r="L97" i="2"/>
  <c r="J97" i="2"/>
  <c r="L89" i="2"/>
  <c r="J89" i="2"/>
  <c r="L85" i="2"/>
  <c r="J85" i="2"/>
  <c r="L77" i="2"/>
  <c r="J77" i="2"/>
  <c r="L69" i="2"/>
  <c r="J69" i="2"/>
  <c r="L61" i="2"/>
  <c r="J61" i="2"/>
  <c r="L53" i="2"/>
  <c r="J53" i="2"/>
  <c r="L45" i="2"/>
  <c r="J45" i="2"/>
  <c r="L107" i="2"/>
  <c r="J107" i="2"/>
  <c r="L103" i="2"/>
  <c r="J103" i="2"/>
  <c r="L99" i="2"/>
  <c r="J99" i="2"/>
  <c r="L95" i="2"/>
  <c r="J95" i="2"/>
  <c r="L91" i="2"/>
  <c r="J91" i="2"/>
  <c r="L87" i="2"/>
  <c r="J87" i="2"/>
  <c r="L83" i="2"/>
  <c r="J83" i="2"/>
  <c r="L79" i="2"/>
  <c r="J79" i="2"/>
  <c r="L75" i="2"/>
  <c r="J75" i="2"/>
  <c r="L71" i="2"/>
  <c r="J71" i="2"/>
  <c r="L67" i="2"/>
  <c r="J67" i="2"/>
  <c r="L63" i="2"/>
  <c r="J63" i="2"/>
  <c r="L59" i="2"/>
  <c r="J59" i="2"/>
  <c r="L55" i="2"/>
  <c r="J55" i="2"/>
  <c r="L51" i="2"/>
  <c r="J51" i="2"/>
  <c r="L47" i="2"/>
  <c r="J47" i="2"/>
  <c r="L43" i="2"/>
  <c r="J43" i="2"/>
  <c r="L39" i="2"/>
  <c r="J39" i="2"/>
  <c r="L70" i="2"/>
  <c r="J70" i="2"/>
  <c r="L66" i="2"/>
  <c r="J66" i="2"/>
  <c r="L62" i="2"/>
  <c r="J62" i="2"/>
  <c r="L58" i="2"/>
  <c r="J58" i="2"/>
  <c r="L54" i="2"/>
  <c r="J54" i="2"/>
  <c r="L50" i="2"/>
  <c r="J50" i="2"/>
  <c r="L46" i="2"/>
  <c r="J46" i="2"/>
  <c r="L42" i="2"/>
  <c r="J42" i="2"/>
  <c r="L38" i="2"/>
  <c r="J38" i="2"/>
  <c r="L30" i="2"/>
  <c r="J30" i="2"/>
  <c r="H32" i="2"/>
  <c r="E24" i="6"/>
  <c r="H33" i="2"/>
  <c r="E25" i="6"/>
  <c r="H34" i="2"/>
  <c r="E26" i="6"/>
  <c r="H23" i="2"/>
  <c r="H19" i="2"/>
  <c r="E17" i="6"/>
  <c r="H27" i="2"/>
  <c r="E21" i="6"/>
  <c r="H35" i="2"/>
  <c r="E10" i="6"/>
  <c r="H31" i="2"/>
  <c r="H21" i="2"/>
  <c r="H25" i="2"/>
  <c r="E20" i="6"/>
  <c r="H29" i="2"/>
  <c r="I29" i="11"/>
  <c r="I23" i="11"/>
  <c r="I24" i="11"/>
  <c r="I25" i="11"/>
  <c r="I26" i="11"/>
  <c r="I27" i="11"/>
  <c r="I28" i="11"/>
  <c r="I30" i="11"/>
  <c r="I31" i="11"/>
  <c r="K21" i="14"/>
  <c r="K29" i="14"/>
  <c r="K39" i="14"/>
  <c r="K40" i="14"/>
  <c r="K38" i="14"/>
  <c r="K30" i="14"/>
  <c r="K31" i="14"/>
  <c r="K32" i="14"/>
  <c r="K33" i="14"/>
  <c r="K24" i="14"/>
  <c r="K23" i="14"/>
  <c r="K22" i="14"/>
  <c r="K15" i="14"/>
  <c r="K16" i="14"/>
  <c r="K14" i="14"/>
  <c r="K6" i="14"/>
  <c r="K7" i="14"/>
  <c r="K8" i="14"/>
  <c r="K9" i="14"/>
  <c r="F22" i="6" l="1"/>
  <c r="J29" i="2"/>
  <c r="L29" i="2"/>
  <c r="F21" i="6"/>
  <c r="J27" i="2"/>
  <c r="L27" i="2"/>
  <c r="F20" i="6"/>
  <c r="J25" i="2"/>
  <c r="L25" i="2"/>
  <c r="L19" i="2"/>
  <c r="J19" i="2"/>
  <c r="F18" i="6"/>
  <c r="L21" i="2"/>
  <c r="J21" i="2"/>
  <c r="F19" i="6"/>
  <c r="L23" i="2"/>
  <c r="J23" i="2"/>
  <c r="L31" i="2"/>
  <c r="J31" i="2"/>
  <c r="F26" i="6"/>
  <c r="L34" i="2"/>
  <c r="J34" i="2"/>
  <c r="F24" i="6"/>
  <c r="J32" i="2"/>
  <c r="L32" i="2"/>
  <c r="L35" i="2"/>
  <c r="J35" i="2"/>
  <c r="F25" i="6"/>
  <c r="L33" i="2"/>
  <c r="J33" i="2"/>
  <c r="K17" i="14"/>
  <c r="K10" i="14"/>
  <c r="K41" i="14"/>
  <c r="G9" i="5" s="1"/>
  <c r="E39" i="14"/>
  <c r="E40" i="14"/>
  <c r="E38" i="14"/>
  <c r="E30" i="14"/>
  <c r="E31" i="14"/>
  <c r="E32" i="14"/>
  <c r="E33" i="14"/>
  <c r="E29" i="14"/>
  <c r="E22" i="14"/>
  <c r="E23" i="14"/>
  <c r="E24" i="14"/>
  <c r="E21" i="14"/>
  <c r="E15" i="14"/>
  <c r="E16" i="14"/>
  <c r="E14" i="14"/>
  <c r="E7" i="14"/>
  <c r="E8" i="14"/>
  <c r="E9" i="14"/>
  <c r="E6" i="14"/>
  <c r="I38" i="14" l="1"/>
  <c r="G38" i="14"/>
  <c r="G41" i="14" s="1"/>
  <c r="E9" i="5" s="1"/>
  <c r="G40" i="14"/>
  <c r="I40" i="14"/>
  <c r="I16" i="14"/>
  <c r="I17" i="14" s="1"/>
  <c r="F6" i="5" s="1"/>
  <c r="G16" i="14"/>
  <c r="G17" i="14" s="1"/>
  <c r="E6" i="5" s="1"/>
  <c r="I7" i="14"/>
  <c r="G7" i="14"/>
  <c r="I8" i="14"/>
  <c r="G8" i="14"/>
  <c r="I6" i="14"/>
  <c r="G6" i="14"/>
  <c r="I9" i="14"/>
  <c r="G9" i="14"/>
  <c r="E10" i="14"/>
  <c r="G6" i="5"/>
  <c r="I22" i="3"/>
  <c r="H22" i="3"/>
  <c r="G22" i="3"/>
  <c r="I41" i="14" l="1"/>
  <c r="F9" i="5" s="1"/>
  <c r="G10" i="14"/>
  <c r="I10" i="14"/>
  <c r="F5" i="5" s="1"/>
  <c r="C34" i="14"/>
  <c r="K25" i="14" l="1"/>
  <c r="G7" i="5" s="1"/>
  <c r="D16" i="6" l="1"/>
  <c r="D15" i="6"/>
  <c r="D14" i="6"/>
  <c r="D13" i="6"/>
  <c r="C15" i="8"/>
  <c r="D10" i="6"/>
  <c r="C12" i="18"/>
  <c r="E12" i="18" s="1"/>
  <c r="C11" i="18"/>
  <c r="E11" i="18" s="1"/>
  <c r="C10" i="18"/>
  <c r="E10" i="18" s="1"/>
  <c r="C9" i="18"/>
  <c r="E9" i="18" s="1"/>
  <c r="C8" i="18"/>
  <c r="E8" i="18" s="1"/>
  <c r="C7" i="18"/>
  <c r="E7" i="18" s="1"/>
  <c r="C6" i="18"/>
  <c r="K34" i="14" l="1"/>
  <c r="G8" i="5" s="1"/>
  <c r="C13" i="18"/>
  <c r="E6" i="18"/>
  <c r="E13" i="18" s="1"/>
  <c r="C22" i="18" s="1"/>
  <c r="E9" i="15"/>
  <c r="E7" i="15"/>
  <c r="E8" i="15"/>
  <c r="E10" i="15"/>
  <c r="E11" i="15"/>
  <c r="E12" i="15"/>
  <c r="E6" i="15"/>
  <c r="C13" i="15"/>
  <c r="G10" i="15" l="1"/>
  <c r="I10" i="15"/>
  <c r="I11" i="15"/>
  <c r="G11" i="15"/>
  <c r="I6" i="15"/>
  <c r="G6" i="15"/>
  <c r="I8" i="15"/>
  <c r="G8" i="15"/>
  <c r="G9" i="15"/>
  <c r="I9" i="15"/>
  <c r="I7" i="15"/>
  <c r="G7" i="15"/>
  <c r="I12" i="15"/>
  <c r="G12" i="15"/>
  <c r="G13" i="15" s="1"/>
  <c r="C20" i="18"/>
  <c r="C18" i="18"/>
  <c r="D5" i="7"/>
  <c r="D6" i="7"/>
  <c r="I11" i="6"/>
  <c r="E13" i="15"/>
  <c r="D5" i="5"/>
  <c r="C10" i="14"/>
  <c r="C5" i="5" s="1"/>
  <c r="E34" i="14"/>
  <c r="D8" i="5" s="1"/>
  <c r="E25" i="14"/>
  <c r="D7" i="5" s="1"/>
  <c r="D36" i="2"/>
  <c r="D37" i="2" s="1"/>
  <c r="D38" i="2" s="1"/>
  <c r="D39" i="2" s="1"/>
  <c r="D41" i="2"/>
  <c r="D42" i="2" s="1"/>
  <c r="D43" i="2" s="1"/>
  <c r="D44" i="2" s="1"/>
  <c r="D106" i="2"/>
  <c r="D107" i="2" s="1"/>
  <c r="D108" i="2" s="1"/>
  <c r="D109" i="2" s="1"/>
  <c r="D101" i="2"/>
  <c r="D102" i="2" s="1"/>
  <c r="D103" i="2" s="1"/>
  <c r="D104" i="2" s="1"/>
  <c r="D96" i="2"/>
  <c r="D97" i="2" s="1"/>
  <c r="D98" i="2" s="1"/>
  <c r="D99" i="2" s="1"/>
  <c r="D91" i="2"/>
  <c r="D92" i="2" s="1"/>
  <c r="D93" i="2" s="1"/>
  <c r="D94" i="2" s="1"/>
  <c r="D86" i="2"/>
  <c r="D87" i="2" s="1"/>
  <c r="D88" i="2" s="1"/>
  <c r="D89" i="2" s="1"/>
  <c r="D81" i="2"/>
  <c r="D82" i="2" s="1"/>
  <c r="D83" i="2" s="1"/>
  <c r="D84" i="2" s="1"/>
  <c r="D76" i="2"/>
  <c r="D77" i="2" s="1"/>
  <c r="D78" i="2" s="1"/>
  <c r="D79" i="2" s="1"/>
  <c r="D71" i="2"/>
  <c r="D72" i="2" s="1"/>
  <c r="D73" i="2" s="1"/>
  <c r="D74" i="2" s="1"/>
  <c r="D67" i="2"/>
  <c r="D68" i="2" s="1"/>
  <c r="D69" i="2" s="1"/>
  <c r="D61" i="2"/>
  <c r="D62" i="2" s="1"/>
  <c r="D63" i="2" s="1"/>
  <c r="D64" i="2" s="1"/>
  <c r="D56" i="2"/>
  <c r="D57" i="2" s="1"/>
  <c r="D58" i="2" s="1"/>
  <c r="D59" i="2" s="1"/>
  <c r="D51" i="2"/>
  <c r="D52" i="2" s="1"/>
  <c r="D53" i="2" s="1"/>
  <c r="D54" i="2" s="1"/>
  <c r="D46" i="2"/>
  <c r="D47" i="2" s="1"/>
  <c r="D48" i="2" s="1"/>
  <c r="D49" i="2" s="1"/>
  <c r="P16" i="11"/>
  <c r="N16" i="11"/>
  <c r="N15" i="11" s="1"/>
  <c r="P15" i="11"/>
  <c r="P13" i="11"/>
  <c r="P14" i="11" s="1"/>
  <c r="P12" i="11"/>
  <c r="N12" i="11"/>
  <c r="P11" i="11"/>
  <c r="N11" i="11"/>
  <c r="P10" i="11"/>
  <c r="N10" i="11"/>
  <c r="P9" i="11"/>
  <c r="N9" i="11"/>
  <c r="N13" i="11" s="1"/>
  <c r="N14" i="11" s="1"/>
  <c r="P8" i="11"/>
  <c r="N8" i="11"/>
  <c r="P7" i="11"/>
  <c r="N7" i="11"/>
  <c r="D32" i="11"/>
  <c r="H31" i="11"/>
  <c r="J31" i="11" s="1"/>
  <c r="H30" i="11"/>
  <c r="J30" i="11" s="1"/>
  <c r="H29" i="11"/>
  <c r="J29" i="11" s="1"/>
  <c r="J28" i="11"/>
  <c r="H28" i="11"/>
  <c r="H27" i="11"/>
  <c r="J27" i="11" s="1"/>
  <c r="H26" i="11"/>
  <c r="J26" i="11" s="1"/>
  <c r="H25" i="11"/>
  <c r="J25" i="11" s="1"/>
  <c r="H24" i="11"/>
  <c r="H23" i="11"/>
  <c r="J23" i="11" s="1"/>
  <c r="H22" i="11"/>
  <c r="H21" i="11"/>
  <c r="H20" i="11"/>
  <c r="I20" i="11" s="1"/>
  <c r="H19" i="11"/>
  <c r="I19" i="11" s="1"/>
  <c r="H18" i="11"/>
  <c r="I18" i="11" s="1"/>
  <c r="H17" i="11"/>
  <c r="H16" i="11"/>
  <c r="I16" i="11" s="1"/>
  <c r="H15" i="11"/>
  <c r="I15" i="11" s="1"/>
  <c r="H14" i="11"/>
  <c r="I14" i="11" s="1"/>
  <c r="H13" i="11"/>
  <c r="H12" i="11"/>
  <c r="I12" i="11" s="1"/>
  <c r="H11" i="11"/>
  <c r="H10" i="11"/>
  <c r="H9" i="11"/>
  <c r="H8" i="11"/>
  <c r="I8" i="11" s="1"/>
  <c r="H7" i="11"/>
  <c r="H6" i="11"/>
  <c r="I13" i="15" l="1"/>
  <c r="J21" i="11"/>
  <c r="I21" i="11"/>
  <c r="J19" i="11"/>
  <c r="J22" i="11"/>
  <c r="I22" i="11"/>
  <c r="I6" i="11"/>
  <c r="J6" i="11"/>
  <c r="J20" i="11"/>
  <c r="J17" i="11"/>
  <c r="I17" i="11"/>
  <c r="J15" i="11"/>
  <c r="J13" i="11"/>
  <c r="I13" i="11"/>
  <c r="J12" i="11"/>
  <c r="J11" i="11"/>
  <c r="I11" i="11"/>
  <c r="J10" i="11"/>
  <c r="I10" i="11"/>
  <c r="J9" i="11"/>
  <c r="I9" i="11"/>
  <c r="J7" i="11"/>
  <c r="I7" i="11"/>
  <c r="J8" i="11"/>
  <c r="J24" i="11"/>
  <c r="J16" i="11"/>
  <c r="C8" i="5"/>
  <c r="C17" i="14"/>
  <c r="C6" i="5" s="1"/>
  <c r="J14" i="11"/>
  <c r="J18" i="11"/>
  <c r="H32" i="11"/>
  <c r="F31" i="4"/>
  <c r="E32" i="4"/>
  <c r="E33" i="4"/>
  <c r="E34" i="4"/>
  <c r="E35" i="4"/>
  <c r="E36" i="4"/>
  <c r="E37" i="4"/>
  <c r="E38" i="4"/>
  <c r="E39" i="4"/>
  <c r="E40" i="4"/>
  <c r="E41" i="4"/>
  <c r="E42" i="4"/>
  <c r="E43" i="4"/>
  <c r="E44" i="4"/>
  <c r="E45" i="4"/>
  <c r="E46" i="4"/>
  <c r="E47" i="4"/>
  <c r="E48" i="4"/>
  <c r="E31" i="4"/>
  <c r="E8" i="4"/>
  <c r="E9" i="4"/>
  <c r="G9" i="4" s="1"/>
  <c r="E10" i="4"/>
  <c r="G10" i="4" s="1"/>
  <c r="E11" i="4"/>
  <c r="E12" i="4"/>
  <c r="E13" i="4"/>
  <c r="E14" i="4"/>
  <c r="E15" i="4"/>
  <c r="E16" i="4"/>
  <c r="E17" i="4"/>
  <c r="H17" i="4" s="1"/>
  <c r="E18" i="4"/>
  <c r="E19" i="4"/>
  <c r="E20" i="4"/>
  <c r="E21" i="4"/>
  <c r="E22" i="4"/>
  <c r="E23" i="4"/>
  <c r="E7" i="4"/>
  <c r="E10" i="3"/>
  <c r="E11" i="3"/>
  <c r="E12" i="3"/>
  <c r="E13" i="3"/>
  <c r="E14" i="3"/>
  <c r="E15" i="3"/>
  <c r="E16" i="3"/>
  <c r="E17" i="3"/>
  <c r="E18" i="3"/>
  <c r="E19" i="3"/>
  <c r="E20" i="3"/>
  <c r="E21" i="3"/>
  <c r="F8" i="4" l="1"/>
  <c r="G8" i="4"/>
  <c r="L14" i="3"/>
  <c r="K14" i="3"/>
  <c r="J14" i="3"/>
  <c r="K17" i="3"/>
  <c r="J17" i="3"/>
  <c r="L17" i="3"/>
  <c r="J13" i="3"/>
  <c r="K13" i="3"/>
  <c r="L13" i="3"/>
  <c r="L20" i="3"/>
  <c r="K20" i="3"/>
  <c r="J20" i="3"/>
  <c r="L18" i="3"/>
  <c r="K18" i="3"/>
  <c r="J18" i="3"/>
  <c r="K21" i="3"/>
  <c r="J21" i="3"/>
  <c r="L21" i="3"/>
  <c r="L16" i="3"/>
  <c r="K16" i="3"/>
  <c r="J16" i="3"/>
  <c r="K19" i="3"/>
  <c r="L19" i="3"/>
  <c r="J19" i="3"/>
  <c r="K15" i="3"/>
  <c r="L15" i="3"/>
  <c r="J15" i="3"/>
  <c r="I32" i="11"/>
  <c r="E10" i="5"/>
  <c r="C16" i="5" s="1"/>
  <c r="G10" i="5"/>
  <c r="C14" i="5" s="1"/>
  <c r="C16" i="8" s="1"/>
  <c r="E17" i="14"/>
  <c r="D6" i="5" s="1"/>
  <c r="E41" i="14"/>
  <c r="D9" i="5" s="1"/>
  <c r="F34" i="4"/>
  <c r="H34" i="4"/>
  <c r="F43" i="4"/>
  <c r="H43" i="4"/>
  <c r="G43" i="4"/>
  <c r="F35" i="4"/>
  <c r="H35" i="4"/>
  <c r="F38" i="4"/>
  <c r="H38" i="4"/>
  <c r="F45" i="4"/>
  <c r="H45" i="4"/>
  <c r="G45" i="4"/>
  <c r="F41" i="4"/>
  <c r="G41" i="4"/>
  <c r="H41" i="4"/>
  <c r="F37" i="4"/>
  <c r="H37" i="4"/>
  <c r="F33" i="4"/>
  <c r="H33" i="4"/>
  <c r="F47" i="4"/>
  <c r="H47" i="4"/>
  <c r="G47" i="4"/>
  <c r="F39" i="4"/>
  <c r="H39" i="4"/>
  <c r="F46" i="4"/>
  <c r="H46" i="4"/>
  <c r="G46" i="4"/>
  <c r="F42" i="4"/>
  <c r="H42" i="4"/>
  <c r="G42" i="4"/>
  <c r="F48" i="4"/>
  <c r="G48" i="4"/>
  <c r="H48" i="4"/>
  <c r="F44" i="4"/>
  <c r="G44" i="4"/>
  <c r="H44" i="4"/>
  <c r="F40" i="4"/>
  <c r="H40" i="4"/>
  <c r="F36" i="4"/>
  <c r="H36" i="4"/>
  <c r="F32" i="4"/>
  <c r="H32" i="4"/>
  <c r="J32" i="11"/>
  <c r="F10" i="5" l="1"/>
  <c r="C17" i="5" s="1"/>
  <c r="C41" i="14"/>
  <c r="C9" i="5" s="1"/>
  <c r="C25" i="14"/>
  <c r="C7" i="5" s="1"/>
  <c r="D11" i="1"/>
  <c r="D27" i="6" s="1"/>
  <c r="D10" i="5"/>
  <c r="C10" i="5" l="1"/>
  <c r="D9" i="8"/>
  <c r="E9" i="8"/>
  <c r="C15" i="5"/>
  <c r="C9" i="8" s="1"/>
  <c r="C16" i="18"/>
  <c r="H23" i="4"/>
  <c r="G23" i="4"/>
  <c r="F23" i="4"/>
  <c r="H49" i="4"/>
  <c r="G49" i="4"/>
  <c r="C49" i="4"/>
  <c r="F49" i="4"/>
  <c r="E9" i="3"/>
  <c r="C24" i="4"/>
  <c r="C9" i="7" l="1"/>
  <c r="D7" i="7"/>
  <c r="C17" i="8"/>
  <c r="G18" i="4"/>
  <c r="F18" i="4"/>
  <c r="H18" i="4"/>
  <c r="F10" i="4"/>
  <c r="H10" i="4"/>
  <c r="H13" i="4"/>
  <c r="G13" i="4"/>
  <c r="F13" i="4"/>
  <c r="H22" i="4"/>
  <c r="G22" i="4"/>
  <c r="F22" i="4"/>
  <c r="H14" i="4"/>
  <c r="G14" i="4"/>
  <c r="F14" i="4"/>
  <c r="H21" i="4"/>
  <c r="G21" i="4"/>
  <c r="F21" i="4"/>
  <c r="G17" i="4"/>
  <c r="F17" i="4"/>
  <c r="H9" i="4"/>
  <c r="F9" i="4"/>
  <c r="H20" i="4"/>
  <c r="G20" i="4"/>
  <c r="F20" i="4"/>
  <c r="H16" i="4"/>
  <c r="G16" i="4"/>
  <c r="F16" i="4"/>
  <c r="H12" i="4"/>
  <c r="G12" i="4"/>
  <c r="F12" i="4"/>
  <c r="H8" i="4"/>
  <c r="H19" i="4"/>
  <c r="G19" i="4"/>
  <c r="F19" i="4"/>
  <c r="H15" i="4"/>
  <c r="G15" i="4"/>
  <c r="F15" i="4"/>
  <c r="H11" i="4"/>
  <c r="G11" i="4"/>
  <c r="F11" i="4"/>
  <c r="E49" i="4"/>
  <c r="E24" i="4"/>
  <c r="D9" i="7" l="1"/>
  <c r="C26" i="8"/>
  <c r="C8" i="7"/>
  <c r="D8" i="7" s="1"/>
  <c r="C5" i="6"/>
  <c r="F24" i="4"/>
  <c r="G24" i="4"/>
  <c r="H24" i="4"/>
  <c r="L22" i="3"/>
  <c r="K22" i="3"/>
  <c r="C22" i="3"/>
  <c r="E8" i="8" l="1"/>
  <c r="D8" i="8"/>
  <c r="J22" i="3"/>
  <c r="C8" i="8" s="1"/>
  <c r="E22" i="3"/>
  <c r="C4" i="6" s="1"/>
  <c r="C6" i="6" s="1"/>
  <c r="E8" i="7" l="1"/>
  <c r="I10" i="6"/>
  <c r="E7" i="7"/>
  <c r="E6" i="7"/>
  <c r="E9" i="7"/>
  <c r="E5" i="7"/>
  <c r="I9" i="6"/>
  <c r="E12" i="6"/>
  <c r="E15" i="6"/>
  <c r="E13" i="6"/>
  <c r="F16" i="6" l="1"/>
  <c r="E16" i="6"/>
  <c r="F14" i="6"/>
  <c r="E14" i="6"/>
  <c r="H10" i="2"/>
  <c r="F23" i="6"/>
  <c r="F15" i="6"/>
  <c r="F17" i="6"/>
  <c r="F13" i="6"/>
  <c r="F12" i="6"/>
  <c r="L10" i="2" l="1"/>
  <c r="J10" i="2"/>
  <c r="F10" i="6"/>
  <c r="F11" i="2" l="1"/>
  <c r="F12" i="2"/>
  <c r="H12" i="2" s="1"/>
  <c r="F13" i="2"/>
  <c r="H13" i="2" s="1"/>
  <c r="L12" i="2" l="1"/>
  <c r="J12" i="2"/>
  <c r="L13" i="2"/>
  <c r="J13" i="2"/>
  <c r="H11" i="2"/>
  <c r="E11" i="6"/>
  <c r="E27" i="6" s="1"/>
  <c r="F110" i="2"/>
  <c r="L11" i="2" l="1"/>
  <c r="L110" i="2" s="1"/>
  <c r="J11" i="2"/>
  <c r="J110" i="2" s="1"/>
  <c r="F11" i="6"/>
  <c r="F27" i="6" s="1"/>
  <c r="H110" i="2"/>
  <c r="B6" i="12" l="1"/>
  <c r="D7" i="8"/>
  <c r="E7" i="8"/>
  <c r="B7" i="12"/>
  <c r="C7" i="8"/>
  <c r="B5" i="12"/>
  <c r="D23" i="8" l="1"/>
  <c r="D10" i="8"/>
  <c r="D22" i="8"/>
  <c r="C10" i="8"/>
  <c r="C23" i="8"/>
  <c r="C22" i="8"/>
  <c r="E22" i="8"/>
  <c r="E23" i="8"/>
  <c r="E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Sacha</author>
  </authors>
  <commentList>
    <comment ref="C9" authorId="0" shapeId="0" xr:uid="{6E7B2CA3-8A9A-4B9C-8DE4-3F8AFB2274E5}">
      <text>
        <r>
          <rPr>
            <b/>
            <sz val="11"/>
            <color indexed="81"/>
            <rFont val="Tahoma"/>
            <family val="2"/>
          </rPr>
          <t xml:space="preserve">Description:
</t>
        </r>
        <r>
          <rPr>
            <sz val="11"/>
            <color indexed="81"/>
            <rFont val="Tahoma"/>
            <family val="2"/>
          </rPr>
          <t xml:space="preserve">Dans les celllules de cette colonnne, vous pouvez décrire si vous le souhaitez, le type de culture mise en place </t>
        </r>
      </text>
    </comment>
    <comment ref="G9" authorId="0" shapeId="0" xr:uid="{00000000-0006-0000-0200-000001000000}">
      <text>
        <r>
          <rPr>
            <b/>
            <sz val="9"/>
            <color indexed="81"/>
            <rFont val="Tahoma"/>
            <family val="2"/>
          </rPr>
          <t>Donnés:</t>
        </r>
        <r>
          <rPr>
            <sz val="9"/>
            <color indexed="81"/>
            <rFont val="Tahoma"/>
            <family val="2"/>
          </rPr>
          <t xml:space="preserve">
Introduire en valeur décimale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Sacha</author>
  </authors>
  <commentList>
    <comment ref="F5" authorId="0" shapeId="0" xr:uid="{00000000-0006-0000-0300-000001000000}">
      <text>
        <r>
          <rPr>
            <b/>
            <sz val="9"/>
            <color indexed="81"/>
            <rFont val="Tahoma"/>
            <family val="2"/>
          </rPr>
          <t>Données:
Prendre la valeur correspondant à votre région dans le tableau ci-contre
(Prendre la moyenne)</t>
        </r>
        <r>
          <rPr>
            <sz val="9"/>
            <color indexed="81"/>
            <rFont val="Tahoma"/>
            <family val="2"/>
          </rPr>
          <t xml:space="preserve">
</t>
        </r>
      </text>
    </comment>
    <comment ref="G5" authorId="0" shapeId="0" xr:uid="{00000000-0006-0000-0300-000002000000}">
      <text>
        <r>
          <rPr>
            <b/>
            <sz val="9"/>
            <color indexed="81"/>
            <rFont val="Tahoma"/>
            <family val="2"/>
          </rPr>
          <t>Données:</t>
        </r>
        <r>
          <rPr>
            <sz val="9"/>
            <color indexed="81"/>
            <rFont val="Tahoma"/>
            <family val="2"/>
          </rPr>
          <t xml:space="preserve">
Sélectionnez la qualit de l'herbe parmis les 3 propositions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Sacha</author>
  </authors>
  <commentList>
    <comment ref="H8" authorId="0" shapeId="0" xr:uid="{00000000-0006-0000-0600-000002000000}">
      <text>
        <r>
          <rPr>
            <b/>
            <sz val="12"/>
            <color indexed="81"/>
            <rFont val="Tahoma"/>
            <family val="2"/>
          </rPr>
          <t>Donnée</t>
        </r>
        <r>
          <rPr>
            <sz val="9"/>
            <color indexed="81"/>
            <rFont val="Tahoma"/>
            <family val="2"/>
          </rPr>
          <t>s</t>
        </r>
        <r>
          <rPr>
            <b/>
            <sz val="12"/>
            <color indexed="81"/>
            <rFont val="Tahoma"/>
            <family val="2"/>
          </rPr>
          <t xml:space="preserve">:
</t>
        </r>
        <r>
          <rPr>
            <sz val="12"/>
            <color indexed="81"/>
            <rFont val="Tahoma"/>
            <family val="2"/>
          </rPr>
          <t>Introduire le taux en pourcent</t>
        </r>
      </text>
    </comment>
    <comment ref="I8" authorId="0" shapeId="0" xr:uid="{00000000-0006-0000-0600-000003000000}">
      <text>
        <r>
          <rPr>
            <b/>
            <sz val="12"/>
            <color indexed="81"/>
            <rFont val="Tahoma"/>
            <family val="2"/>
          </rPr>
          <t xml:space="preserve">Données:
</t>
        </r>
        <r>
          <rPr>
            <sz val="12"/>
            <color indexed="81"/>
            <rFont val="Tahoma"/>
            <family val="2"/>
          </rPr>
          <t>Introduire les taux en pourcent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Sacha</author>
  </authors>
  <commentList>
    <comment ref="B29" authorId="0" shapeId="0" xr:uid="{00000000-0006-0000-0700-000001000000}">
      <text>
        <r>
          <rPr>
            <b/>
            <sz val="9"/>
            <color indexed="81"/>
            <rFont val="Tahoma"/>
            <family val="2"/>
          </rPr>
          <t>Race :</t>
        </r>
        <r>
          <rPr>
            <sz val="9"/>
            <color indexed="81"/>
            <rFont val="Tahoma"/>
            <family val="2"/>
          </rPr>
          <t xml:space="preserve">
Choisir la rce de son troupeau allaitant parmis celles proposées dans la liste déroulante de cette cellule</t>
        </r>
      </text>
    </comment>
  </commentList>
</comments>
</file>

<file path=xl/sharedStrings.xml><?xml version="1.0" encoding="utf-8"?>
<sst xmlns="http://schemas.openxmlformats.org/spreadsheetml/2006/main" count="608" uniqueCount="366">
  <si>
    <t>Description</t>
  </si>
  <si>
    <t>Superficie (Ha)</t>
  </si>
  <si>
    <t>Prairies</t>
  </si>
  <si>
    <t>Maïs fourrager</t>
  </si>
  <si>
    <t>Céréales</t>
  </si>
  <si>
    <t>TOTAL</t>
  </si>
  <si>
    <t>Types de cultures</t>
  </si>
  <si>
    <t>Prairie 1</t>
  </si>
  <si>
    <t>Prairie 2</t>
  </si>
  <si>
    <t>Prairie 4</t>
  </si>
  <si>
    <t>Prairie 5</t>
  </si>
  <si>
    <t>coupe 1</t>
  </si>
  <si>
    <t>coupe 2</t>
  </si>
  <si>
    <t>coupe 3</t>
  </si>
  <si>
    <t>coupe 4</t>
  </si>
  <si>
    <t>coupe 5</t>
  </si>
  <si>
    <t>Prairie 3</t>
  </si>
  <si>
    <t xml:space="preserve">Race </t>
  </si>
  <si>
    <t>Besoins troupeau viandeux</t>
  </si>
  <si>
    <t>Assolement</t>
  </si>
  <si>
    <t>Génisses -1 an vêlage précoce</t>
  </si>
  <si>
    <t>Génisses 1-2ans vêlage précoce</t>
  </si>
  <si>
    <t>Nbre d'animaux</t>
  </si>
  <si>
    <t>Vaches laitières 1ère lactation</t>
  </si>
  <si>
    <t>Mâles -1 an</t>
  </si>
  <si>
    <t>Nbre d'UGB</t>
  </si>
  <si>
    <t>Génisses + 2 ans (24-36 mois)</t>
  </si>
  <si>
    <t>Taureaux reproducteurs (min 24 mois)</t>
  </si>
  <si>
    <t>Vaches laitières 2ème lactation et plus</t>
  </si>
  <si>
    <t>/</t>
  </si>
  <si>
    <t>Troupeau laitier</t>
  </si>
  <si>
    <t>Mâles 1-2 ans</t>
  </si>
  <si>
    <t>Mâles + 2 ans</t>
  </si>
  <si>
    <t>Production laitière/vache/jour (Kg)</t>
  </si>
  <si>
    <t>Ingestion (Kg MS/an)</t>
  </si>
  <si>
    <t>Ingestion VEM/an</t>
  </si>
  <si>
    <t>Ingestion g DVE/an</t>
  </si>
  <si>
    <t>Vaches taries (8ème mois de gestation)</t>
  </si>
  <si>
    <t>Vaches taries (9ème mois de gestation)</t>
  </si>
  <si>
    <t>Poids moyen animal (Kg)</t>
  </si>
  <si>
    <t>Troupeau</t>
  </si>
  <si>
    <t>Vaches allaitantes</t>
  </si>
  <si>
    <t>Génisses - 1 an</t>
  </si>
  <si>
    <t>Génisses 1-2 ans</t>
  </si>
  <si>
    <t>Génisses + 2 ans</t>
  </si>
  <si>
    <t>Génisses 24-28 mois finition</t>
  </si>
  <si>
    <t>Génisses 30-36 mois finition</t>
  </si>
  <si>
    <t>Mâles - 1 an</t>
  </si>
  <si>
    <t>Mâles 2-3 ans</t>
  </si>
  <si>
    <t>Mâles + 3 ans</t>
  </si>
  <si>
    <t>Taureaux reproducteurs</t>
  </si>
  <si>
    <t>Taureaux finition</t>
  </si>
  <si>
    <t>Boeufs -1 an</t>
  </si>
  <si>
    <t>Boeufs 1-2 ans</t>
  </si>
  <si>
    <t>Boeufs 2-3 ans</t>
  </si>
  <si>
    <t>Boeufs + 3 ans</t>
  </si>
  <si>
    <t>Boeufs 24-36 mois en finition</t>
  </si>
  <si>
    <t>Achats</t>
  </si>
  <si>
    <t>Concentrés</t>
  </si>
  <si>
    <t>Fourrages</t>
  </si>
  <si>
    <t>Quantités (T)</t>
  </si>
  <si>
    <t xml:space="preserve">Coûts totaux </t>
  </si>
  <si>
    <t>T de MS</t>
  </si>
  <si>
    <t>Production Totale</t>
  </si>
  <si>
    <t xml:space="preserve"> T de MS</t>
  </si>
  <si>
    <t>VEM/T de MS</t>
  </si>
  <si>
    <t>Kg de DVE/T de MS</t>
  </si>
  <si>
    <t>% MS</t>
  </si>
  <si>
    <t>Rdmt (T/Ha)</t>
  </si>
  <si>
    <t>Type de culture</t>
  </si>
  <si>
    <t>Céréale 2</t>
  </si>
  <si>
    <t>Céréale 3</t>
  </si>
  <si>
    <t>Céréale 4</t>
  </si>
  <si>
    <t>Céréale 5</t>
  </si>
  <si>
    <t>Type de prairie</t>
  </si>
  <si>
    <t>Total</t>
  </si>
  <si>
    <t>Rdmt MF</t>
  </si>
  <si>
    <t>Qualité Herbe</t>
  </si>
  <si>
    <t>Rdmt MS</t>
  </si>
  <si>
    <t>Production énergétique</t>
  </si>
  <si>
    <t>Production protéique</t>
  </si>
  <si>
    <t>Rdmt moyen en fonction de la région agricole(T MS/Ha)*</t>
  </si>
  <si>
    <t>Régions agricoles</t>
  </si>
  <si>
    <t>Ardenne</t>
  </si>
  <si>
    <t>Campine hennuyère</t>
  </si>
  <si>
    <t>Condroz</t>
  </si>
  <si>
    <t>Fagnes</t>
  </si>
  <si>
    <t>Famenne</t>
  </si>
  <si>
    <t>Haute Ardenne</t>
  </si>
  <si>
    <t>Herbagère</t>
  </si>
  <si>
    <t>Jurassique</t>
  </si>
  <si>
    <t>Limoneuse</t>
  </si>
  <si>
    <t>Sablo-limoneuse</t>
  </si>
  <si>
    <t>Nbre jours Pâturés</t>
  </si>
  <si>
    <t>Moyenne</t>
  </si>
  <si>
    <t>6 à 10 T</t>
  </si>
  <si>
    <t>6,5 à 11 T</t>
  </si>
  <si>
    <t>6,5 à 11T</t>
  </si>
  <si>
    <t>4,5 à 7 T</t>
  </si>
  <si>
    <t>5 à 8 T</t>
  </si>
  <si>
    <t>5,5 à 9</t>
  </si>
  <si>
    <t>7 à 11 T</t>
  </si>
  <si>
    <t>7 à 14 T</t>
  </si>
  <si>
    <t>7,5 à 15 T</t>
  </si>
  <si>
    <t>5,5 à 11 T</t>
  </si>
  <si>
    <t>6 à 12 T</t>
  </si>
  <si>
    <t>6,5 à 13 T</t>
  </si>
  <si>
    <t>8 à 16 T</t>
  </si>
  <si>
    <t>Nom du morceau</t>
  </si>
  <si>
    <t>Rendement moyen</t>
  </si>
  <si>
    <t>Rendement moyen2</t>
  </si>
  <si>
    <t>Moyenne2</t>
  </si>
  <si>
    <t>Prairie permanente</t>
  </si>
  <si>
    <t>Prairie temporaire</t>
  </si>
  <si>
    <t>Production brute de l'exploitation</t>
  </si>
  <si>
    <t xml:space="preserve">Charges opérationnelles affectées (Hors coûts de cultures fourragères) </t>
  </si>
  <si>
    <t>Total charges opérationnelles affectées</t>
  </si>
  <si>
    <t>Marge Brute</t>
  </si>
  <si>
    <t>/UGB</t>
  </si>
  <si>
    <t>/L de lait</t>
  </si>
  <si>
    <t>MARGE BRUTE troupeau bovin</t>
  </si>
  <si>
    <t>Colonne1</t>
  </si>
  <si>
    <t>Assolement fourrager</t>
  </si>
  <si>
    <t>Production totale</t>
  </si>
  <si>
    <t>Besoins totaux</t>
  </si>
  <si>
    <t>Achats totaux</t>
  </si>
  <si>
    <t>T MS</t>
  </si>
  <si>
    <t>VEM</t>
  </si>
  <si>
    <t>Kg de DVE</t>
  </si>
  <si>
    <t>Quantité de MS achetée</t>
  </si>
  <si>
    <t>Coûts de production fourragère</t>
  </si>
  <si>
    <t>Coûts totaux</t>
  </si>
  <si>
    <t>€/an</t>
  </si>
  <si>
    <t>Coûts annuels</t>
  </si>
  <si>
    <t>Récapitulatif</t>
  </si>
  <si>
    <t>Résultats</t>
  </si>
  <si>
    <t>Calcul d'autonomie</t>
  </si>
  <si>
    <t>Massique</t>
  </si>
  <si>
    <t>Protéique</t>
  </si>
  <si>
    <t>Couverture des besoins</t>
  </si>
  <si>
    <t>Autonomie</t>
  </si>
  <si>
    <t>Efficience économique de l'exploitation</t>
  </si>
  <si>
    <t>Vaches allaitantes suitées</t>
  </si>
  <si>
    <t xml:space="preserve">Vaches allaitantes </t>
  </si>
  <si>
    <t>Besoins troupeau laitier</t>
  </si>
  <si>
    <t>Race  française</t>
  </si>
  <si>
    <t>Production pâturage</t>
  </si>
  <si>
    <t>Production fourragère totale</t>
  </si>
  <si>
    <t>Paille</t>
  </si>
  <si>
    <t>Prairie 6</t>
  </si>
  <si>
    <t>Prairie 7</t>
  </si>
  <si>
    <t>Prairie 8</t>
  </si>
  <si>
    <t>Prairie 9</t>
  </si>
  <si>
    <t>Prairie 10</t>
  </si>
  <si>
    <t>Production totale laitière annuelle (L)</t>
  </si>
  <si>
    <t>Charges variables/an</t>
  </si>
  <si>
    <t>CV/Ha</t>
  </si>
  <si>
    <t>CV/T MF</t>
  </si>
  <si>
    <t>CV/T MS</t>
  </si>
  <si>
    <t>Génisses de - 1an</t>
  </si>
  <si>
    <t>BLANC BLEU BELGE</t>
  </si>
  <si>
    <t>Race belge</t>
  </si>
  <si>
    <t>Préfané</t>
  </si>
  <si>
    <t>Foin</t>
  </si>
  <si>
    <t>Co-produits de l'industrie</t>
  </si>
  <si>
    <t>Inventaire achats d'aliments</t>
  </si>
  <si>
    <t xml:space="preserve">Récapitulatif des achats d'aliments </t>
  </si>
  <si>
    <t>Prairies permanentes (610-618-670-678-600-608)</t>
  </si>
  <si>
    <t>Prairies temporaires (62-72-73)</t>
  </si>
  <si>
    <t>Type de cultures (Code culture)</t>
  </si>
  <si>
    <t>Maïs fourrager (201-202)</t>
  </si>
  <si>
    <t>Céréales (341-342-36-311-312-321-322-331-332-351-352)</t>
  </si>
  <si>
    <t>Autres cultures fourragères (381-43-71-742-743-511-512)</t>
  </si>
  <si>
    <t>Mélanges fourragers</t>
  </si>
  <si>
    <t>Mélange 4</t>
  </si>
  <si>
    <t>Mélange 5</t>
  </si>
  <si>
    <t>Autres cultures fourragères</t>
  </si>
  <si>
    <t>Stock</t>
  </si>
  <si>
    <t>Ensilage Maïs</t>
  </si>
  <si>
    <t>Ensilage d'herbe</t>
  </si>
  <si>
    <t>Valeurs UGB alimentation</t>
  </si>
  <si>
    <t>Valeurs UGBalimentation</t>
  </si>
  <si>
    <t>Valeur UGB</t>
  </si>
  <si>
    <t>Autres vaches</t>
  </si>
  <si>
    <t>Bovins de - 1 an</t>
  </si>
  <si>
    <t>Génisses d'élevages</t>
  </si>
  <si>
    <t>Mâles de 2 ans et plus</t>
  </si>
  <si>
    <t>Bovins entre 1 et 2  ans</t>
  </si>
  <si>
    <t>Chargement par hectare de prairie</t>
  </si>
  <si>
    <t>Chargement par hectare de prairie permanente</t>
  </si>
  <si>
    <t>Chargement par hectare de prairie temporaire</t>
  </si>
  <si>
    <t>Aliments</t>
  </si>
  <si>
    <t>VEVI</t>
  </si>
  <si>
    <t>DVE</t>
  </si>
  <si>
    <t>Aliments2</t>
  </si>
  <si>
    <t>VEM2</t>
  </si>
  <si>
    <t>VEVI2</t>
  </si>
  <si>
    <t>DVE2</t>
  </si>
  <si>
    <t>Paille de froment</t>
  </si>
  <si>
    <t>Paille d'orge</t>
  </si>
  <si>
    <t>Paille d'avoine</t>
  </si>
  <si>
    <t>PAILLES</t>
  </si>
  <si>
    <t>Paille d'épeautre</t>
  </si>
  <si>
    <t xml:space="preserve">Paille de pois </t>
  </si>
  <si>
    <t>Paille de graminés</t>
  </si>
  <si>
    <t>FOINS</t>
  </si>
  <si>
    <t>Prairie de très bonne qualité</t>
  </si>
  <si>
    <t>Prairie de bonne qualité</t>
  </si>
  <si>
    <t>Prairie de qualité moyenne</t>
  </si>
  <si>
    <t>Prairie de qualité médiocre</t>
  </si>
  <si>
    <t>Foin de luzerne</t>
  </si>
  <si>
    <t>Foin de trèfle</t>
  </si>
  <si>
    <t>Fanes de pois</t>
  </si>
  <si>
    <t>FOURRAGE VERT-FRAIS</t>
  </si>
  <si>
    <t>Herbe de pâture</t>
  </si>
  <si>
    <t>Luzerne</t>
  </si>
  <si>
    <t>Choux moellier</t>
  </si>
  <si>
    <t>Maïs</t>
  </si>
  <si>
    <t>Fanes et colets de betteraves suc.</t>
  </si>
  <si>
    <t>Feuilles de betteraves</t>
  </si>
  <si>
    <t>Colza d'hiver</t>
  </si>
  <si>
    <t>ENSILAGE D'HERBE</t>
  </si>
  <si>
    <t>Ensilage direct très bon</t>
  </si>
  <si>
    <t>Ensilage direct bon</t>
  </si>
  <si>
    <t>Ensilage direct moyen</t>
  </si>
  <si>
    <t>Ensilage direct médiocre</t>
  </si>
  <si>
    <t>Léger préfannage très bon</t>
  </si>
  <si>
    <t>Léger préfannage moyen</t>
  </si>
  <si>
    <t>Léger préfannage médiocre</t>
  </si>
  <si>
    <t>Préfannage très bon</t>
  </si>
  <si>
    <t>Préfannage bon</t>
  </si>
  <si>
    <t>Préfannage moyen</t>
  </si>
  <si>
    <t xml:space="preserve">Préfannage médiovre </t>
  </si>
  <si>
    <t>ENSILAGE</t>
  </si>
  <si>
    <t>Maïs laiteux</t>
  </si>
  <si>
    <t>Maïs pré-pateux</t>
  </si>
  <si>
    <t>Maïs pateux</t>
  </si>
  <si>
    <t>Maïs vitreux</t>
  </si>
  <si>
    <t>Pulpes mouillées</t>
  </si>
  <si>
    <t>Pulpes pressées</t>
  </si>
  <si>
    <t>Pulpes surpressées</t>
  </si>
  <si>
    <t>Drêches de brasserie</t>
  </si>
  <si>
    <t>RACINES ET TUBERCULES</t>
  </si>
  <si>
    <t>Pomme de terre</t>
  </si>
  <si>
    <t>Betterave sucrière</t>
  </si>
  <si>
    <t>Betterave fourragère</t>
  </si>
  <si>
    <t>Racine de chicon</t>
  </si>
  <si>
    <t>Carottes</t>
  </si>
  <si>
    <t>Navets</t>
  </si>
  <si>
    <t>GRAINS</t>
  </si>
  <si>
    <t>Froment</t>
  </si>
  <si>
    <t>Escourgeon</t>
  </si>
  <si>
    <t>Avoine</t>
  </si>
  <si>
    <t>Epeautre</t>
  </si>
  <si>
    <t>Triticale</t>
  </si>
  <si>
    <t>Seigle</t>
  </si>
  <si>
    <t>Féveroles</t>
  </si>
  <si>
    <t>Pois</t>
  </si>
  <si>
    <t>CONCENTRES</t>
  </si>
  <si>
    <t>Farine de luzerne</t>
  </si>
  <si>
    <t>Pulpes sèches</t>
  </si>
  <si>
    <t>Cossettes de betteraves suc.</t>
  </si>
  <si>
    <t>Pulpes d'agrumes</t>
  </si>
  <si>
    <t>Drêche de brasserie sèches</t>
  </si>
  <si>
    <t>Son de froment</t>
  </si>
  <si>
    <t>Rebulet</t>
  </si>
  <si>
    <t>Mélasse</t>
  </si>
  <si>
    <t>Sorgho</t>
  </si>
  <si>
    <t>Farine de manioc</t>
  </si>
  <si>
    <t>Son d'épeautre</t>
  </si>
  <si>
    <t>Pellets de maïs</t>
  </si>
  <si>
    <t>Vinasse de betterave</t>
  </si>
  <si>
    <t>TOURTEAUX S/P HUILE</t>
  </si>
  <si>
    <t>Arachide expeller</t>
  </si>
  <si>
    <t>Arachide déshuilé</t>
  </si>
  <si>
    <t>Cocotier déshuilé</t>
  </si>
  <si>
    <t>Lin déshuilé</t>
  </si>
  <si>
    <t>Palmiste déshuilé</t>
  </si>
  <si>
    <t>Germes de maïs déshuilés</t>
  </si>
  <si>
    <t>Soja déshuilé</t>
  </si>
  <si>
    <t>DIVERS</t>
  </si>
  <si>
    <t xml:space="preserve">Pommes </t>
  </si>
  <si>
    <t>Poires</t>
  </si>
  <si>
    <t>Passé betterave en sirop</t>
  </si>
  <si>
    <t>Passé fruit en sirop</t>
  </si>
  <si>
    <t>Passé fruit jus</t>
  </si>
  <si>
    <t>Drêche de whisky</t>
  </si>
  <si>
    <t>Marc de pommes</t>
  </si>
  <si>
    <t xml:space="preserve">Déchets de pdt </t>
  </si>
  <si>
    <t>Pulpes pdt</t>
  </si>
  <si>
    <t>Epluchure pdt</t>
  </si>
  <si>
    <t>Lactosérum</t>
  </si>
  <si>
    <t>Les données proposées proviennent de tableaux distribués à l'école d'agriculture de Ciney St-Quentin (EPASC)</t>
  </si>
  <si>
    <t>Rendement moyen en tonne de MS des prairies en fontion de la région agricole</t>
  </si>
  <si>
    <t>Mélange Fourrager 1</t>
  </si>
  <si>
    <t>Mélange Fourrager 2</t>
  </si>
  <si>
    <t>Mélange Fourrager 3</t>
  </si>
  <si>
    <t>Mélange Fourrager 4</t>
  </si>
  <si>
    <t>Mélange Fourrager 5</t>
  </si>
  <si>
    <t>Autre culture fourragère</t>
  </si>
  <si>
    <t>UGB alimentation Laitier</t>
  </si>
  <si>
    <t>UGB alimentation viandeux</t>
  </si>
  <si>
    <t>UGB alimentation Totaux</t>
  </si>
  <si>
    <t>Outil de calcul d'autonomie alimentatire de son exploitation</t>
  </si>
  <si>
    <t>Taux de M-G du lait (%)</t>
  </si>
  <si>
    <t>Taux protéique du lait (%)</t>
  </si>
  <si>
    <t>Choisir la race de son troupeau laitier parmis celles proposées dans la liste déroulante de la cellule bleu</t>
  </si>
  <si>
    <t>Génisses de 1 à 2 ans</t>
  </si>
  <si>
    <t>inventaire du troupeau</t>
  </si>
  <si>
    <t>Inventaire du troupeau</t>
  </si>
  <si>
    <t>Charges variables des cultures fourragères</t>
  </si>
  <si>
    <t>CV/Litre de lait</t>
  </si>
  <si>
    <t>CV/UGB alimentation</t>
  </si>
  <si>
    <t xml:space="preserve">CV/UGB </t>
  </si>
  <si>
    <t>Prix (€/T)</t>
  </si>
  <si>
    <t>Coûts d'achat (€)</t>
  </si>
  <si>
    <t>Energétique</t>
  </si>
  <si>
    <t>http://www.herbe-fourrages-limousin.fr/fileadmin/documents/doc_pascaline/Estimation_de_densite_fourrages_-_novembre_2012.pdf</t>
  </si>
  <si>
    <t>LIEN:</t>
  </si>
  <si>
    <t>http://www.haute-loire.chambagri.fr/sites/agri43/IMG/pdf/Normes_fourragers_1.pdf</t>
  </si>
  <si>
    <t>Introduction</t>
  </si>
  <si>
    <t>Stock de fourrages des années précédentes</t>
  </si>
  <si>
    <t>Nombre d'UGB et chargement à l'hectare</t>
  </si>
  <si>
    <t>Prairie temporaire 1</t>
  </si>
  <si>
    <t>Prairie temporaire 2</t>
  </si>
  <si>
    <t>Prairie temporaire 3</t>
  </si>
  <si>
    <t>Prairie temporaire 4</t>
  </si>
  <si>
    <t>Prairie temporaire 5</t>
  </si>
  <si>
    <t>aa</t>
  </si>
  <si>
    <t>Mélanges fourragers (39-541-542)</t>
  </si>
  <si>
    <t xml:space="preserve">Rendement quantitatif et qualitatif des cultures liées à l'alimentation </t>
  </si>
  <si>
    <t>Production des récoltes de fourrages</t>
  </si>
  <si>
    <t>Production de fourrage par le pâturage</t>
  </si>
  <si>
    <t>Autre production fourragère</t>
  </si>
  <si>
    <t>Vaches laitières et vaches laitières de réforme</t>
  </si>
  <si>
    <t>Génisses à l'engraissement</t>
  </si>
  <si>
    <t>Chargement par hectare de SAU fourragère</t>
  </si>
  <si>
    <t>Charges opérationnelles affectées (cultures fourragères)</t>
  </si>
  <si>
    <t>Coûts d'achats d'aliments</t>
  </si>
  <si>
    <t>Valeurs alimentaires de différents aliments utilisés en élevage</t>
  </si>
  <si>
    <t>Céréales fourragères</t>
  </si>
  <si>
    <t>Léger préfannage bon</t>
  </si>
  <si>
    <t>Sésame déshuilé</t>
  </si>
  <si>
    <t>Colza déshulié</t>
  </si>
  <si>
    <t>Coton déshuilé</t>
  </si>
  <si>
    <t>Sésame expellé</t>
  </si>
  <si>
    <t>Coton expellé</t>
  </si>
  <si>
    <t>Cocotier expellé</t>
  </si>
  <si>
    <t>Lin expellé</t>
  </si>
  <si>
    <t>Palmiste expellé</t>
  </si>
  <si>
    <t>Germes maïs expellé</t>
  </si>
  <si>
    <t>Colza expellé</t>
  </si>
  <si>
    <t>Bourre d'épeautre</t>
  </si>
  <si>
    <t>Céréale 6</t>
  </si>
  <si>
    <t xml:space="preserve">Céréale 1 </t>
  </si>
  <si>
    <t>%M-S</t>
  </si>
  <si>
    <t>%M-S2</t>
  </si>
  <si>
    <t>Manque à combler au niveau des besoins (Achats pas pris en compte)</t>
  </si>
  <si>
    <t>VEM Totaux</t>
  </si>
  <si>
    <t>Kg de DVE Totaux</t>
  </si>
  <si>
    <t>Quantité de VEM totale achetée</t>
  </si>
  <si>
    <t>Quantité de DVE totale achetée</t>
  </si>
  <si>
    <t>Outil créé par Sacha Ech-Chakrouni, étudiant au BAC AGRO de Ciney</t>
  </si>
  <si>
    <t>Mélange 1</t>
  </si>
  <si>
    <t>Mélange 2</t>
  </si>
  <si>
    <t>Mélange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</si>
</sst>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0\ &quot;Ha&quot;"/>
    <numFmt numFmtId="165" formatCode="#0.00\ &quot;T&quot;"/>
    <numFmt numFmtId="166" formatCode="#0.00\ &quot;VEM&quot;"/>
    <numFmt numFmtId="167" formatCode="#0.00\ &quot;UGB&quot;"/>
    <numFmt numFmtId="168" formatCode="#0.00\ &quot;Kg de lait/vache&quot;"/>
    <numFmt numFmtId="169" formatCode="#0.00\ &quot;Kg MS/an&quot;"/>
    <numFmt numFmtId="170" formatCode="#0.00\ &quot;VEM/an&quot;"/>
    <numFmt numFmtId="171" formatCode="#0.00\ &quot;g de DVE/an&quot;"/>
    <numFmt numFmtId="172" formatCode="#0.00\ &quot;Bêtes&quot;"/>
    <numFmt numFmtId="173" formatCode="#0\ &quot;Bêtes&quot;"/>
    <numFmt numFmtId="174" formatCode="#0.00\ &quot;€/T&quot;"/>
    <numFmt numFmtId="175" formatCode="#,##0.00\ &quot;€&quot;"/>
    <numFmt numFmtId="176" formatCode="#0.00\ &quot;T de MS&quot;"/>
    <numFmt numFmtId="177" formatCode="#0.00\ &quot;VEM/T de MS&quot;"/>
    <numFmt numFmtId="178" formatCode="#0.00\ &quot;Kg de DVE/T de MS&quot;"/>
    <numFmt numFmtId="179" formatCode="#0.00\ &quot;Kg de DVE&quot;"/>
    <numFmt numFmtId="180" formatCode="#0.00\ &quot;T de MF&quot;"/>
    <numFmt numFmtId="181" formatCode="#0.00\ &quot;T/Ha&quot;"/>
    <numFmt numFmtId="182" formatCode="#0.00\ &quot;€/Ha&quot;"/>
    <numFmt numFmtId="183" formatCode="#0.00\ &quot;€/T MS&quot;"/>
    <numFmt numFmtId="184" formatCode="#0\ &quot;Jours&quot;"/>
    <numFmt numFmtId="185" formatCode="#0.00\ &quot;T MS/Ha&quot;"/>
    <numFmt numFmtId="186" formatCode="#0.00\ &quot;T MS/an&quot;"/>
    <numFmt numFmtId="187" formatCode="#0.00\ &quot;Kg de DVE/an&quot;"/>
    <numFmt numFmtId="188" formatCode="#0\ &quot;J&quot;"/>
    <numFmt numFmtId="189" formatCode="#0.00\ &quot;Kg&quot;"/>
    <numFmt numFmtId="190" formatCode="#0.00\ &quot;€/an&quot;"/>
    <numFmt numFmtId="191" formatCode="#0.00\ &quot;€/Kg&quot;"/>
    <numFmt numFmtId="192" formatCode="#0.00\ &quot;g de DVE&quot;"/>
    <numFmt numFmtId="193" formatCode="#0.00\ &quot;UGB/Ha&quot;"/>
    <numFmt numFmtId="194" formatCode="#0.00\ &quot;VEM Totaux&quot;"/>
    <numFmt numFmtId="195" formatCode="#0.00\ &quot;Kg de DVE Totaux&quot;"/>
    <numFmt numFmtId="196" formatCode="#0.00\ &quot;L&quot;"/>
    <numFmt numFmtId="197" formatCode="0.00&quot;%&quot;"/>
  </numFmts>
  <fonts count="34" x14ac:knownFonts="1">
    <font>
      <sz val="11"/>
      <color theme="1"/>
      <name val="Calibri"/>
      <family val="2"/>
      <scheme val="minor"/>
    </font>
    <font>
      <b/>
      <sz val="16"/>
      <color theme="1"/>
      <name val="Calibri"/>
      <family val="2"/>
      <scheme val="minor"/>
    </font>
    <font>
      <sz val="12"/>
      <color theme="1"/>
      <name val="Calibri"/>
      <family val="2"/>
      <scheme val="minor"/>
    </font>
    <font>
      <b/>
      <sz val="20"/>
      <color rgb="FFFF000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14"/>
      <name val="Calibri"/>
      <family val="2"/>
      <scheme val="minor"/>
    </font>
    <font>
      <sz val="20"/>
      <color rgb="FFFF0000"/>
      <name val="Calibri"/>
      <family val="2"/>
      <scheme val="minor"/>
    </font>
    <font>
      <b/>
      <sz val="20"/>
      <name val="Calibri"/>
      <family val="2"/>
      <scheme val="minor"/>
    </font>
    <font>
      <sz val="12"/>
      <name val="Calibri"/>
      <family val="2"/>
      <scheme val="minor"/>
    </font>
    <font>
      <b/>
      <sz val="12"/>
      <name val="Calibri"/>
      <family val="2"/>
      <scheme val="minor"/>
    </font>
    <font>
      <b/>
      <sz val="16"/>
      <name val="Calibri"/>
      <family val="2"/>
      <scheme val="minor"/>
    </font>
    <font>
      <sz val="9"/>
      <color indexed="81"/>
      <name val="Tahoma"/>
      <family val="2"/>
    </font>
    <font>
      <b/>
      <sz val="12"/>
      <color indexed="81"/>
      <name val="Tahoma"/>
      <family val="2"/>
    </font>
    <font>
      <b/>
      <sz val="9"/>
      <color indexed="81"/>
      <name val="Tahoma"/>
      <family val="2"/>
    </font>
    <font>
      <sz val="12"/>
      <color indexed="81"/>
      <name val="Tahoma"/>
      <family val="2"/>
    </font>
    <font>
      <b/>
      <sz val="14"/>
      <name val="Calibri"/>
      <family val="2"/>
      <scheme val="minor"/>
    </font>
    <font>
      <b/>
      <sz val="12"/>
      <color theme="1"/>
      <name val="Calibri"/>
      <family val="2"/>
      <scheme val="minor"/>
    </font>
    <font>
      <b/>
      <sz val="25"/>
      <color rgb="FFFF0000"/>
      <name val="Calibri"/>
      <family val="2"/>
      <scheme val="minor"/>
    </font>
    <font>
      <u/>
      <sz val="14"/>
      <color theme="1"/>
      <name val="Calibri"/>
      <family val="2"/>
      <scheme val="minor"/>
    </font>
    <font>
      <u/>
      <sz val="11"/>
      <color theme="1"/>
      <name val="Calibri"/>
      <family val="2"/>
      <scheme val="minor"/>
    </font>
    <font>
      <sz val="12"/>
      <color theme="9" tint="-0.499984740745262"/>
      <name val="Calibri"/>
      <family val="2"/>
      <scheme val="minor"/>
    </font>
    <font>
      <b/>
      <sz val="11"/>
      <color indexed="81"/>
      <name val="Tahoma"/>
      <family val="2"/>
    </font>
    <font>
      <sz val="11"/>
      <color indexed="81"/>
      <name val="Tahoma"/>
      <family val="2"/>
    </font>
    <font>
      <b/>
      <sz val="14"/>
      <color rgb="FFFF0000"/>
      <name val="Calibri"/>
      <family val="2"/>
      <scheme val="minor"/>
    </font>
    <font>
      <u/>
      <sz val="11"/>
      <color theme="10"/>
      <name val="Calibri"/>
      <family val="2"/>
      <scheme val="minor"/>
    </font>
    <font>
      <b/>
      <sz val="30"/>
      <color rgb="FFFF0000"/>
      <name val="Calibri"/>
      <family val="2"/>
      <scheme val="minor"/>
    </font>
    <font>
      <b/>
      <sz val="28"/>
      <color rgb="FFFF0000"/>
      <name val="Calibri"/>
      <family val="2"/>
      <scheme val="minor"/>
    </font>
    <font>
      <b/>
      <sz val="12"/>
      <color rgb="FFFF0000"/>
      <name val="Calibri"/>
      <family val="2"/>
      <scheme val="minor"/>
    </font>
    <font>
      <sz val="14"/>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8" tint="-0.49998474074526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thin">
        <color auto="1"/>
      </left>
      <right/>
      <top/>
      <bottom/>
      <diagonal/>
    </border>
    <border>
      <left/>
      <right style="medium">
        <color indexed="64"/>
      </right>
      <top/>
      <bottom style="medium">
        <color indexed="64"/>
      </bottom>
      <diagonal/>
    </border>
    <border>
      <left/>
      <right style="thin">
        <color auto="1"/>
      </right>
      <top/>
      <bottom/>
      <diagonal/>
    </border>
    <border>
      <left/>
      <right/>
      <top/>
      <bottom style="medium">
        <color indexed="64"/>
      </bottom>
      <diagonal/>
    </border>
    <border>
      <left style="medium">
        <color indexed="64"/>
      </left>
      <right/>
      <top style="medium">
        <color indexed="64"/>
      </top>
      <bottom/>
      <diagonal/>
    </border>
    <border>
      <left style="thin">
        <color auto="1"/>
      </left>
      <right style="thin">
        <color auto="1"/>
      </right>
      <top/>
      <bottom/>
      <diagonal/>
    </border>
    <border>
      <left/>
      <right style="thin">
        <color auto="1"/>
      </right>
      <top style="thin">
        <color auto="1"/>
      </top>
      <bottom/>
      <diagonal/>
    </border>
    <border>
      <left style="medium">
        <color indexed="64"/>
      </left>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style="thin">
        <color auto="1"/>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thin">
        <color auto="1"/>
      </left>
      <right/>
      <top style="thin">
        <color auto="1"/>
      </top>
      <bottom/>
      <diagonal/>
    </border>
    <border>
      <left style="medium">
        <color indexed="64"/>
      </left>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medium">
        <color indexed="64"/>
      </right>
      <top/>
      <bottom/>
      <diagonal/>
    </border>
    <border>
      <left style="thin">
        <color auto="1"/>
      </left>
      <right style="medium">
        <color indexed="64"/>
      </right>
      <top style="medium">
        <color indexed="64"/>
      </top>
      <bottom/>
      <diagonal/>
    </border>
  </borders>
  <cellStyleXfs count="3">
    <xf numFmtId="0" fontId="0" fillId="0" borderId="0"/>
    <xf numFmtId="9" fontId="7" fillId="0" borderId="0" applyFont="0" applyFill="0" applyBorder="0" applyAlignment="0" applyProtection="0"/>
    <xf numFmtId="0" fontId="29" fillId="0" borderId="0" applyNumberFormat="0" applyFill="0" applyBorder="0" applyAlignment="0" applyProtection="0"/>
  </cellStyleXfs>
  <cellXfs count="610">
    <xf numFmtId="0" fontId="0" fillId="0" borderId="0" xfId="0"/>
    <xf numFmtId="0" fontId="0" fillId="0" borderId="0" xfId="0" applyFill="1"/>
    <xf numFmtId="0" fontId="1" fillId="2" borderId="4" xfId="0" applyFont="1" applyFill="1" applyBorder="1"/>
    <xf numFmtId="0" fontId="1" fillId="3" borderId="9" xfId="0" applyFont="1" applyFill="1" applyBorder="1"/>
    <xf numFmtId="0" fontId="1" fillId="3" borderId="5" xfId="0" applyFont="1" applyFill="1" applyBorder="1"/>
    <xf numFmtId="0" fontId="1" fillId="3" borderId="10" xfId="0" applyFont="1" applyFill="1" applyBorder="1"/>
    <xf numFmtId="0" fontId="2" fillId="0" borderId="11" xfId="0" applyFont="1" applyBorder="1"/>
    <xf numFmtId="0" fontId="0" fillId="0" borderId="0" xfId="0"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center"/>
    </xf>
    <xf numFmtId="0" fontId="0" fillId="0" borderId="0" xfId="0"/>
    <xf numFmtId="0" fontId="0" fillId="0" borderId="0" xfId="0" applyFont="1" applyFill="1" applyBorder="1"/>
    <xf numFmtId="0" fontId="0" fillId="0" borderId="0" xfId="0"/>
    <xf numFmtId="0" fontId="0" fillId="2" borderId="29" xfId="0" applyFill="1" applyBorder="1"/>
    <xf numFmtId="0" fontId="0" fillId="2" borderId="28" xfId="0" applyFill="1"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5" fillId="7" borderId="0" xfId="0" applyFont="1" applyFill="1"/>
    <xf numFmtId="0" fontId="3" fillId="0" borderId="0" xfId="0" applyFont="1" applyAlignment="1">
      <alignment horizontal="center"/>
    </xf>
    <xf numFmtId="0" fontId="8" fillId="0" borderId="11" xfId="0" applyFont="1" applyBorder="1"/>
    <xf numFmtId="0" fontId="8" fillId="0" borderId="9" xfId="0" applyFont="1" applyBorder="1"/>
    <xf numFmtId="0" fontId="8" fillId="0" borderId="13" xfId="0" applyFont="1" applyBorder="1"/>
    <xf numFmtId="175" fontId="5" fillId="3" borderId="10" xfId="0" applyNumberFormat="1" applyFont="1" applyFill="1" applyBorder="1" applyAlignment="1">
      <alignment horizontal="right"/>
    </xf>
    <xf numFmtId="166" fontId="5" fillId="3" borderId="12" xfId="0" applyNumberFormat="1" applyFont="1" applyFill="1" applyBorder="1" applyAlignment="1">
      <alignment horizontal="right"/>
    </xf>
    <xf numFmtId="179" fontId="5" fillId="3" borderId="14" xfId="0" applyNumberFormat="1" applyFont="1" applyFill="1" applyBorder="1" applyAlignment="1">
      <alignment horizontal="right"/>
    </xf>
    <xf numFmtId="2" fontId="9" fillId="3" borderId="5" xfId="0" applyNumberFormat="1" applyFont="1" applyFill="1" applyBorder="1" applyAlignment="1">
      <alignment horizontal="center"/>
    </xf>
    <xf numFmtId="2" fontId="9" fillId="3" borderId="24" xfId="0" applyNumberFormat="1" applyFont="1" applyFill="1" applyBorder="1" applyAlignment="1">
      <alignment horizontal="center"/>
    </xf>
    <xf numFmtId="2" fontId="9" fillId="3" borderId="1" xfId="0" applyNumberFormat="1" applyFont="1" applyFill="1" applyBorder="1" applyAlignment="1">
      <alignment horizontal="center"/>
    </xf>
    <xf numFmtId="2" fontId="9" fillId="3" borderId="3" xfId="0" applyNumberFormat="1" applyFont="1" applyFill="1" applyBorder="1" applyAlignment="1">
      <alignment horizontal="center"/>
    </xf>
    <xf numFmtId="0" fontId="9" fillId="3" borderId="24" xfId="0" applyFont="1" applyFill="1" applyBorder="1" applyAlignment="1">
      <alignment horizontal="center"/>
    </xf>
    <xf numFmtId="0" fontId="9" fillId="3" borderId="1" xfId="0" applyFont="1" applyFill="1" applyBorder="1" applyAlignment="1">
      <alignment horizontal="center"/>
    </xf>
    <xf numFmtId="2" fontId="9" fillId="0" borderId="1" xfId="0" applyNumberFormat="1" applyFont="1" applyBorder="1" applyAlignment="1">
      <alignment horizontal="center"/>
    </xf>
    <xf numFmtId="10" fontId="9" fillId="0" borderId="1" xfId="1" applyNumberFormat="1" applyFont="1" applyBorder="1" applyAlignment="1">
      <alignment horizontal="center"/>
    </xf>
    <xf numFmtId="2" fontId="10" fillId="3" borderId="1" xfId="0" applyNumberFormat="1"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6" fillId="4" borderId="9" xfId="0" applyFont="1" applyFill="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4" xfId="0" applyFont="1" applyBorder="1" applyAlignment="1">
      <alignment horizontal="center"/>
    </xf>
    <xf numFmtId="175"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179" fontId="5" fillId="0" borderId="0" xfId="0" applyNumberFormat="1" applyFont="1" applyFill="1" applyBorder="1" applyAlignment="1">
      <alignment horizontal="right"/>
    </xf>
    <xf numFmtId="0" fontId="11" fillId="0" borderId="0" xfId="0" applyFont="1" applyBorder="1" applyAlignment="1">
      <alignment horizontal="center"/>
    </xf>
    <xf numFmtId="0" fontId="1" fillId="2" borderId="15" xfId="0" applyFont="1" applyFill="1" applyBorder="1"/>
    <xf numFmtId="175" fontId="9" fillId="3" borderId="1" xfId="0" applyNumberFormat="1" applyFont="1" applyFill="1" applyBorder="1" applyAlignment="1">
      <alignment horizontal="center"/>
    </xf>
    <xf numFmtId="0" fontId="9" fillId="0" borderId="17" xfId="0" applyFont="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2" fillId="2" borderId="7" xfId="0" applyFont="1" applyFill="1" applyBorder="1" applyAlignment="1">
      <alignment horizontal="center"/>
    </xf>
    <xf numFmtId="0" fontId="15" fillId="2" borderId="4" xfId="0" applyFont="1" applyFill="1" applyBorder="1" applyAlignment="1">
      <alignment horizontal="center"/>
    </xf>
    <xf numFmtId="166" fontId="9" fillId="3" borderId="5" xfId="0" applyNumberFormat="1" applyFont="1" applyFill="1" applyBorder="1" applyAlignment="1">
      <alignment horizontal="center"/>
    </xf>
    <xf numFmtId="0" fontId="1" fillId="2" borderId="4" xfId="0" applyFont="1" applyFill="1" applyBorder="1" applyAlignment="1">
      <alignment horizontal="center"/>
    </xf>
    <xf numFmtId="0" fontId="15" fillId="2" borderId="50" xfId="0" applyFont="1" applyFill="1" applyBorder="1"/>
    <xf numFmtId="0" fontId="15" fillId="2" borderId="53" xfId="0" applyFont="1" applyFill="1" applyBorder="1" applyAlignment="1">
      <alignment horizontal="center"/>
    </xf>
    <xf numFmtId="179" fontId="15" fillId="2" borderId="53" xfId="0" applyNumberFormat="1" applyFont="1" applyFill="1" applyBorder="1" applyAlignment="1">
      <alignment horizontal="center"/>
    </xf>
    <xf numFmtId="0" fontId="15" fillId="2" borderId="53" xfId="0" applyFont="1" applyFill="1" applyBorder="1"/>
    <xf numFmtId="0" fontId="15" fillId="2" borderId="48" xfId="0" applyFont="1" applyFill="1" applyBorder="1" applyAlignment="1">
      <alignment horizontal="center"/>
    </xf>
    <xf numFmtId="0" fontId="0" fillId="0" borderId="34" xfId="0" applyBorder="1"/>
    <xf numFmtId="0" fontId="13" fillId="8" borderId="55" xfId="0" applyFont="1" applyFill="1" applyBorder="1"/>
    <xf numFmtId="0" fontId="14" fillId="8" borderId="5" xfId="0" applyFont="1" applyFill="1" applyBorder="1" applyAlignment="1">
      <alignment horizontal="center"/>
    </xf>
    <xf numFmtId="0" fontId="14" fillId="8" borderId="10" xfId="0" applyFont="1" applyFill="1" applyBorder="1" applyAlignment="1">
      <alignment horizontal="center"/>
    </xf>
    <xf numFmtId="0" fontId="6" fillId="0" borderId="13" xfId="0" applyFont="1" applyBorder="1" applyAlignment="1">
      <alignment horizontal="left"/>
    </xf>
    <xf numFmtId="0" fontId="20" fillId="0" borderId="9" xfId="0" applyFont="1" applyBorder="1" applyAlignment="1">
      <alignment horizontal="left"/>
    </xf>
    <xf numFmtId="0" fontId="6" fillId="3" borderId="9" xfId="0" applyFont="1" applyFill="1" applyBorder="1" applyAlignment="1">
      <alignment horizontal="left"/>
    </xf>
    <xf numFmtId="0" fontId="6" fillId="3" borderId="13" xfId="0" applyFont="1" applyFill="1" applyBorder="1"/>
    <xf numFmtId="0" fontId="6" fillId="0" borderId="11" xfId="0" applyFont="1" applyBorder="1" applyAlignment="1">
      <alignment horizontal="left"/>
    </xf>
    <xf numFmtId="0" fontId="9" fillId="8" borderId="13" xfId="0" applyFont="1" applyFill="1" applyBorder="1"/>
    <xf numFmtId="0" fontId="0" fillId="0" borderId="0" xfId="0" applyAlignment="1">
      <alignment wrapText="1"/>
    </xf>
    <xf numFmtId="0" fontId="0" fillId="0" borderId="9" xfId="0" applyBorder="1"/>
    <xf numFmtId="0" fontId="0" fillId="0" borderId="7" xfId="0" applyBorder="1"/>
    <xf numFmtId="0" fontId="6" fillId="0" borderId="4" xfId="0" applyFont="1" applyBorder="1" applyAlignment="1">
      <alignment horizontal="center"/>
    </xf>
    <xf numFmtId="0" fontId="6" fillId="0" borderId="8" xfId="0" applyFont="1" applyBorder="1" applyAlignment="1">
      <alignment horizontal="center"/>
    </xf>
    <xf numFmtId="175" fontId="6" fillId="3" borderId="8" xfId="0" applyNumberFormat="1" applyFont="1" applyFill="1" applyBorder="1" applyAlignment="1">
      <alignment horizontal="center"/>
    </xf>
    <xf numFmtId="0" fontId="6" fillId="0" borderId="34" xfId="0" applyFont="1" applyBorder="1" applyAlignment="1">
      <alignment horizontal="center"/>
    </xf>
    <xf numFmtId="175" fontId="9" fillId="3" borderId="44" xfId="0" applyNumberFormat="1" applyFont="1" applyFill="1" applyBorder="1" applyAlignment="1">
      <alignment horizontal="center"/>
    </xf>
    <xf numFmtId="175" fontId="9" fillId="3" borderId="45" xfId="0" applyNumberFormat="1" applyFont="1" applyFill="1" applyBorder="1" applyAlignment="1">
      <alignment horizontal="center"/>
    </xf>
    <xf numFmtId="175" fontId="6" fillId="3" borderId="61" xfId="0" applyNumberFormat="1" applyFont="1" applyFill="1" applyBorder="1" applyAlignment="1">
      <alignment horizontal="center"/>
    </xf>
    <xf numFmtId="175" fontId="2" fillId="3" borderId="33" xfId="0" applyNumberFormat="1" applyFont="1" applyFill="1" applyBorder="1" applyAlignment="1">
      <alignment horizontal="center"/>
    </xf>
    <xf numFmtId="0" fontId="9" fillId="8" borderId="41" xfId="0" applyFont="1" applyFill="1" applyBorder="1"/>
    <xf numFmtId="0" fontId="9" fillId="8" borderId="32" xfId="0" applyFont="1" applyFill="1" applyBorder="1"/>
    <xf numFmtId="0" fontId="15" fillId="3" borderId="23" xfId="0" applyFont="1" applyFill="1" applyBorder="1" applyAlignment="1">
      <alignment horizontal="center"/>
    </xf>
    <xf numFmtId="0" fontId="15" fillId="3" borderId="6" xfId="0" applyFont="1" applyFill="1" applyBorder="1" applyAlignment="1">
      <alignment horizontal="center"/>
    </xf>
    <xf numFmtId="0" fontId="15" fillId="3" borderId="47" xfId="0" applyFont="1" applyFill="1" applyBorder="1" applyAlignment="1">
      <alignment horizontal="center"/>
    </xf>
    <xf numFmtId="0" fontId="5" fillId="2" borderId="60" xfId="0" applyFont="1" applyFill="1" applyBorder="1" applyAlignment="1">
      <alignment horizontal="center"/>
    </xf>
    <xf numFmtId="165" fontId="5" fillId="2" borderId="50" xfId="0" applyNumberFormat="1" applyFont="1" applyFill="1" applyBorder="1" applyAlignment="1">
      <alignment horizontal="center"/>
    </xf>
    <xf numFmtId="176" fontId="5" fillId="2" borderId="53" xfId="0" applyNumberFormat="1" applyFont="1" applyFill="1" applyBorder="1" applyAlignment="1">
      <alignment horizontal="center"/>
    </xf>
    <xf numFmtId="0" fontId="12" fillId="3" borderId="49" xfId="0" applyFont="1" applyFill="1" applyBorder="1" applyAlignment="1">
      <alignment horizontal="center"/>
    </xf>
    <xf numFmtId="0" fontId="12" fillId="3" borderId="23" xfId="0" applyFont="1" applyFill="1" applyBorder="1" applyAlignment="1">
      <alignment horizontal="center"/>
    </xf>
    <xf numFmtId="0" fontId="12" fillId="3" borderId="6" xfId="0" applyFont="1" applyFill="1" applyBorder="1" applyAlignment="1">
      <alignment horizontal="center"/>
    </xf>
    <xf numFmtId="0" fontId="12" fillId="3" borderId="47" xfId="0" applyFont="1" applyFill="1" applyBorder="1" applyAlignment="1">
      <alignment horizontal="center"/>
    </xf>
    <xf numFmtId="0" fontId="9" fillId="3" borderId="31" xfId="0" applyFont="1" applyFill="1" applyBorder="1"/>
    <xf numFmtId="0" fontId="9" fillId="3" borderId="32" xfId="0" applyFont="1" applyFill="1" applyBorder="1"/>
    <xf numFmtId="0" fontId="10" fillId="3" borderId="32" xfId="0" applyFont="1" applyFill="1" applyBorder="1"/>
    <xf numFmtId="0" fontId="9" fillId="3" borderId="54" xfId="0" applyFont="1" applyFill="1" applyBorder="1"/>
    <xf numFmtId="0" fontId="5" fillId="2" borderId="63" xfId="0" applyFont="1" applyFill="1" applyBorder="1"/>
    <xf numFmtId="172" fontId="5" fillId="2" borderId="64" xfId="0" applyNumberFormat="1" applyFont="1" applyFill="1" applyBorder="1" applyAlignment="1">
      <alignment horizontal="center"/>
    </xf>
    <xf numFmtId="0" fontId="5" fillId="2" borderId="53" xfId="0" applyFont="1" applyFill="1" applyBorder="1" applyAlignment="1">
      <alignment horizontal="center"/>
    </xf>
    <xf numFmtId="167" fontId="5" fillId="2" borderId="64" xfId="0" applyNumberFormat="1" applyFont="1" applyFill="1" applyBorder="1" applyAlignment="1">
      <alignment horizontal="center"/>
    </xf>
    <xf numFmtId="168" fontId="5" fillId="2" borderId="64" xfId="0" applyNumberFormat="1" applyFont="1" applyFill="1" applyBorder="1" applyAlignment="1">
      <alignment horizontal="center"/>
    </xf>
    <xf numFmtId="10" fontId="5" fillId="2" borderId="64" xfId="1" applyNumberFormat="1" applyFont="1" applyFill="1" applyBorder="1" applyAlignment="1">
      <alignment horizontal="center"/>
    </xf>
    <xf numFmtId="169" fontId="5" fillId="2" borderId="64" xfId="0" applyNumberFormat="1" applyFont="1" applyFill="1" applyBorder="1" applyAlignment="1">
      <alignment horizontal="center"/>
    </xf>
    <xf numFmtId="170" fontId="5" fillId="2" borderId="63" xfId="0" applyNumberFormat="1" applyFont="1" applyFill="1" applyBorder="1" applyAlignment="1">
      <alignment horizontal="center"/>
    </xf>
    <xf numFmtId="171" fontId="5" fillId="2" borderId="65" xfId="0" applyNumberFormat="1" applyFont="1" applyFill="1" applyBorder="1" applyAlignment="1">
      <alignment horizontal="center"/>
    </xf>
    <xf numFmtId="0" fontId="20" fillId="3" borderId="15" xfId="0" applyFont="1" applyFill="1" applyBorder="1" applyAlignment="1">
      <alignment horizontal="center"/>
    </xf>
    <xf numFmtId="0" fontId="20" fillId="3" borderId="6" xfId="0" applyFont="1" applyFill="1" applyBorder="1" applyAlignment="1">
      <alignment horizontal="center"/>
    </xf>
    <xf numFmtId="0" fontId="20" fillId="3" borderId="4" xfId="0" applyFont="1" applyFill="1" applyBorder="1" applyAlignment="1">
      <alignment horizontal="center"/>
    </xf>
    <xf numFmtId="0" fontId="20" fillId="3" borderId="30" xfId="0" applyFont="1" applyFill="1" applyBorder="1" applyAlignment="1">
      <alignment horizontal="center"/>
    </xf>
    <xf numFmtId="0" fontId="20" fillId="3" borderId="40" xfId="0" applyFont="1" applyFill="1" applyBorder="1" applyAlignment="1">
      <alignment horizontal="center"/>
    </xf>
    <xf numFmtId="0" fontId="9" fillId="3" borderId="57" xfId="0" applyFont="1" applyFill="1" applyBorder="1"/>
    <xf numFmtId="0" fontId="9" fillId="3" borderId="43" xfId="0" applyFont="1" applyFill="1" applyBorder="1"/>
    <xf numFmtId="0" fontId="9" fillId="3" borderId="59" xfId="0" applyFont="1" applyFill="1" applyBorder="1"/>
    <xf numFmtId="0" fontId="5" fillId="2" borderId="50" xfId="0" applyFont="1" applyFill="1" applyBorder="1"/>
    <xf numFmtId="173" fontId="5" fillId="2" borderId="65" xfId="0" applyNumberFormat="1" applyFont="1" applyFill="1" applyBorder="1" applyAlignment="1">
      <alignment horizontal="center"/>
    </xf>
    <xf numFmtId="0" fontId="5" fillId="2" borderId="64" xfId="0" applyFont="1" applyFill="1" applyBorder="1" applyAlignment="1">
      <alignment horizontal="center"/>
    </xf>
    <xf numFmtId="167" fontId="5" fillId="2" borderId="63" xfId="0" applyNumberFormat="1" applyFont="1" applyFill="1" applyBorder="1" applyAlignment="1">
      <alignment horizontal="center"/>
    </xf>
    <xf numFmtId="0" fontId="20" fillId="3" borderId="23" xfId="0" applyFont="1" applyFill="1" applyBorder="1" applyAlignment="1">
      <alignment horizontal="center"/>
    </xf>
    <xf numFmtId="0" fontId="20" fillId="3" borderId="47" xfId="0" applyFont="1" applyFill="1" applyBorder="1" applyAlignment="1">
      <alignment horizontal="center"/>
    </xf>
    <xf numFmtId="0" fontId="6" fillId="8" borderId="7" xfId="0" applyFont="1" applyFill="1" applyBorder="1"/>
    <xf numFmtId="0" fontId="2" fillId="8" borderId="9" xfId="0" applyFont="1" applyFill="1" applyBorder="1" applyAlignment="1">
      <alignment wrapText="1"/>
    </xf>
    <xf numFmtId="0" fontId="8" fillId="0" borderId="26" xfId="0" applyFont="1" applyBorder="1"/>
    <xf numFmtId="176" fontId="5" fillId="3" borderId="25" xfId="0" applyNumberFormat="1" applyFont="1" applyFill="1" applyBorder="1" applyAlignment="1">
      <alignment horizontal="right"/>
    </xf>
    <xf numFmtId="0" fontId="1" fillId="2" borderId="7" xfId="0" applyFont="1" applyFill="1" applyBorder="1"/>
    <xf numFmtId="165" fontId="9" fillId="3" borderId="1" xfId="0" applyNumberFormat="1" applyFont="1" applyFill="1" applyBorder="1" applyAlignment="1">
      <alignment horizontal="center"/>
    </xf>
    <xf numFmtId="166" fontId="9" fillId="3" borderId="1" xfId="0" applyNumberFormat="1" applyFont="1" applyFill="1" applyBorder="1" applyAlignment="1">
      <alignment horizontal="center"/>
    </xf>
    <xf numFmtId="179" fontId="9" fillId="3" borderId="12" xfId="0" applyNumberFormat="1" applyFont="1" applyFill="1" applyBorder="1" applyAlignment="1">
      <alignment horizontal="center"/>
    </xf>
    <xf numFmtId="165" fontId="9" fillId="3" borderId="3" xfId="0" applyNumberFormat="1" applyFont="1" applyFill="1" applyBorder="1" applyAlignment="1">
      <alignment horizontal="center"/>
    </xf>
    <xf numFmtId="0" fontId="9" fillId="4" borderId="11" xfId="0" applyFont="1" applyFill="1" applyBorder="1"/>
    <xf numFmtId="0" fontId="9" fillId="4" borderId="5" xfId="0" applyFont="1" applyFill="1" applyBorder="1" applyAlignment="1">
      <alignment horizontal="center"/>
    </xf>
    <xf numFmtId="0" fontId="9" fillId="4" borderId="10" xfId="0" applyFont="1" applyFill="1" applyBorder="1" applyAlignment="1">
      <alignment horizontal="center"/>
    </xf>
    <xf numFmtId="0" fontId="9" fillId="4" borderId="17" xfId="0" applyFont="1" applyFill="1" applyBorder="1"/>
    <xf numFmtId="0" fontId="6" fillId="8" borderId="4" xfId="0" applyFont="1" applyFill="1" applyBorder="1" applyAlignment="1">
      <alignment horizontal="center"/>
    </xf>
    <xf numFmtId="0" fontId="6" fillId="8" borderId="8" xfId="0" applyFont="1" applyFill="1" applyBorder="1" applyAlignment="1">
      <alignment horizontal="center"/>
    </xf>
    <xf numFmtId="0" fontId="9" fillId="8" borderId="26" xfId="0" applyFont="1" applyFill="1" applyBorder="1"/>
    <xf numFmtId="10" fontId="5" fillId="3" borderId="24" xfId="0" applyNumberFormat="1" applyFont="1" applyFill="1" applyBorder="1" applyAlignment="1">
      <alignment horizontal="center"/>
    </xf>
    <xf numFmtId="10" fontId="5" fillId="3" borderId="25" xfId="0" applyNumberFormat="1" applyFont="1" applyFill="1" applyBorder="1" applyAlignment="1">
      <alignment horizontal="center"/>
    </xf>
    <xf numFmtId="10" fontId="5" fillId="3" borderId="3" xfId="0" applyNumberFormat="1" applyFont="1" applyFill="1" applyBorder="1" applyAlignment="1">
      <alignment horizontal="center"/>
    </xf>
    <xf numFmtId="10" fontId="5" fillId="3" borderId="14" xfId="0" applyNumberFormat="1" applyFont="1" applyFill="1" applyBorder="1" applyAlignment="1">
      <alignment horizontal="center"/>
    </xf>
    <xf numFmtId="191" fontId="1" fillId="2" borderId="10" xfId="0" applyNumberFormat="1" applyFont="1" applyFill="1" applyBorder="1" applyAlignment="1">
      <alignment horizontal="center"/>
    </xf>
    <xf numFmtId="0" fontId="6" fillId="0" borderId="7" xfId="0" applyFont="1" applyBorder="1" applyAlignment="1">
      <alignment wrapText="1"/>
    </xf>
    <xf numFmtId="189" fontId="9" fillId="3" borderId="24" xfId="0" applyNumberFormat="1" applyFont="1" applyFill="1" applyBorder="1" applyAlignment="1">
      <alignment horizontal="center"/>
    </xf>
    <xf numFmtId="166" fontId="9" fillId="3" borderId="31" xfId="0" applyNumberFormat="1" applyFont="1" applyFill="1" applyBorder="1" applyAlignment="1">
      <alignment horizontal="center"/>
    </xf>
    <xf numFmtId="166" fontId="9" fillId="3" borderId="32" xfId="0" applyNumberFormat="1" applyFont="1" applyFill="1" applyBorder="1" applyAlignment="1">
      <alignment horizontal="center"/>
    </xf>
    <xf numFmtId="192" fontId="9" fillId="3" borderId="62" xfId="0" applyNumberFormat="1" applyFont="1" applyFill="1" applyBorder="1" applyAlignment="1">
      <alignment horizontal="center"/>
    </xf>
    <xf numFmtId="192" fontId="9" fillId="3" borderId="45" xfId="0" applyNumberFormat="1" applyFont="1" applyFill="1" applyBorder="1" applyAlignment="1">
      <alignment horizontal="center"/>
    </xf>
    <xf numFmtId="0" fontId="9" fillId="3" borderId="66" xfId="0" applyFont="1" applyFill="1" applyBorder="1"/>
    <xf numFmtId="189" fontId="9" fillId="3" borderId="1" xfId="0" applyNumberFormat="1" applyFont="1" applyFill="1" applyBorder="1" applyAlignment="1">
      <alignment horizontal="center"/>
    </xf>
    <xf numFmtId="0" fontId="0" fillId="0" borderId="0" xfId="0" applyBorder="1"/>
    <xf numFmtId="0" fontId="9" fillId="3" borderId="35" xfId="0" applyFont="1" applyFill="1" applyBorder="1"/>
    <xf numFmtId="10" fontId="5" fillId="2" borderId="8" xfId="0" applyNumberFormat="1" applyFont="1" applyFill="1" applyBorder="1"/>
    <xf numFmtId="0" fontId="10" fillId="8" borderId="11" xfId="0" applyFont="1" applyFill="1" applyBorder="1"/>
    <xf numFmtId="0" fontId="10" fillId="4" borderId="1" xfId="0" applyFont="1" applyFill="1" applyBorder="1" applyAlignment="1">
      <alignment horizontal="center"/>
    </xf>
    <xf numFmtId="165" fontId="10" fillId="5" borderId="1" xfId="0" applyNumberFormat="1" applyFont="1" applyFill="1" applyBorder="1" applyAlignment="1">
      <alignment horizontal="center"/>
    </xf>
    <xf numFmtId="165" fontId="10" fillId="5" borderId="12" xfId="0" applyNumberFormat="1" applyFont="1" applyFill="1" applyBorder="1" applyAlignment="1">
      <alignment horizontal="center"/>
    </xf>
    <xf numFmtId="0" fontId="9" fillId="8" borderId="11" xfId="0" applyFont="1" applyFill="1" applyBorder="1"/>
    <xf numFmtId="0" fontId="9" fillId="4" borderId="1" xfId="0" applyFont="1" applyFill="1" applyBorder="1" applyAlignment="1">
      <alignment horizontal="center"/>
    </xf>
    <xf numFmtId="165" fontId="9" fillId="5" borderId="1" xfId="0" applyNumberFormat="1" applyFont="1" applyFill="1" applyBorder="1" applyAlignment="1">
      <alignment horizontal="center"/>
    </xf>
    <xf numFmtId="165" fontId="9" fillId="5" borderId="12" xfId="0" applyNumberFormat="1" applyFont="1" applyFill="1" applyBorder="1" applyAlignment="1">
      <alignment horizontal="center"/>
    </xf>
    <xf numFmtId="165" fontId="9" fillId="5" borderId="0" xfId="0" applyNumberFormat="1" applyFont="1" applyFill="1" applyBorder="1" applyAlignment="1">
      <alignment horizontal="center"/>
    </xf>
    <xf numFmtId="0" fontId="9" fillId="4" borderId="3" xfId="0" applyFont="1" applyFill="1" applyBorder="1" applyAlignment="1">
      <alignment horizontal="center"/>
    </xf>
    <xf numFmtId="165" fontId="9" fillId="5" borderId="3" xfId="0" applyNumberFormat="1" applyFont="1" applyFill="1" applyBorder="1" applyAlignment="1">
      <alignment horizontal="center"/>
    </xf>
    <xf numFmtId="165" fontId="9" fillId="5" borderId="14" xfId="0" applyNumberFormat="1" applyFont="1" applyFill="1" applyBorder="1" applyAlignment="1">
      <alignment horizontal="center"/>
    </xf>
    <xf numFmtId="0" fontId="8" fillId="0" borderId="33" xfId="0" applyFont="1" applyBorder="1"/>
    <xf numFmtId="0" fontId="8" fillId="0" borderId="35" xfId="0" applyFont="1" applyBorder="1"/>
    <xf numFmtId="0" fontId="8" fillId="0" borderId="27" xfId="0" applyFont="1" applyBorder="1"/>
    <xf numFmtId="0" fontId="9" fillId="3" borderId="45" xfId="0" applyFont="1" applyFill="1" applyBorder="1" applyAlignment="1">
      <alignment horizontal="center"/>
    </xf>
    <xf numFmtId="0" fontId="15" fillId="2" borderId="64" xfId="0" applyFont="1" applyFill="1" applyBorder="1" applyAlignment="1">
      <alignment horizontal="center"/>
    </xf>
    <xf numFmtId="165" fontId="9" fillId="3" borderId="48" xfId="0" applyNumberFormat="1" applyFont="1" applyFill="1" applyBorder="1" applyAlignment="1">
      <alignment horizontal="center"/>
    </xf>
    <xf numFmtId="165" fontId="9" fillId="3" borderId="56" xfId="0" applyNumberFormat="1" applyFont="1" applyFill="1" applyBorder="1" applyAlignment="1">
      <alignment horizontal="center"/>
    </xf>
    <xf numFmtId="165" fontId="9" fillId="3" borderId="42" xfId="0" applyNumberFormat="1" applyFont="1" applyFill="1" applyBorder="1" applyAlignment="1">
      <alignment horizontal="center"/>
    </xf>
    <xf numFmtId="165" fontId="9" fillId="3" borderId="68" xfId="0" applyNumberFormat="1" applyFont="1" applyFill="1" applyBorder="1" applyAlignment="1">
      <alignment horizontal="center"/>
    </xf>
    <xf numFmtId="165" fontId="9" fillId="3" borderId="58" xfId="0" applyNumberFormat="1" applyFont="1" applyFill="1" applyBorder="1" applyAlignment="1">
      <alignment horizontal="center"/>
    </xf>
    <xf numFmtId="165" fontId="9" fillId="3" borderId="52" xfId="0" applyNumberFormat="1" applyFont="1" applyFill="1" applyBorder="1" applyAlignment="1">
      <alignment horizontal="center"/>
    </xf>
    <xf numFmtId="165" fontId="9" fillId="3" borderId="22" xfId="0" applyNumberFormat="1" applyFont="1" applyFill="1" applyBorder="1" applyAlignment="1">
      <alignment horizontal="center"/>
    </xf>
    <xf numFmtId="165" fontId="9" fillId="3" borderId="33" xfId="0" applyNumberFormat="1" applyFont="1" applyFill="1" applyBorder="1" applyAlignment="1">
      <alignment horizontal="center"/>
    </xf>
    <xf numFmtId="165" fontId="9" fillId="3" borderId="35" xfId="0" applyNumberFormat="1" applyFont="1" applyFill="1" applyBorder="1" applyAlignment="1">
      <alignment horizontal="center"/>
    </xf>
    <xf numFmtId="165" fontId="9" fillId="3" borderId="36" xfId="0" applyNumberFormat="1" applyFont="1" applyFill="1" applyBorder="1" applyAlignment="1">
      <alignment horizontal="center"/>
    </xf>
    <xf numFmtId="165" fontId="9" fillId="3" borderId="67" xfId="0" applyNumberFormat="1" applyFont="1" applyFill="1" applyBorder="1" applyAlignment="1">
      <alignment horizontal="center"/>
    </xf>
    <xf numFmtId="0" fontId="5" fillId="0" borderId="0" xfId="0" applyFont="1" applyFill="1" applyBorder="1" applyAlignment="1">
      <alignment horizontal="center"/>
    </xf>
    <xf numFmtId="175" fontId="9" fillId="3" borderId="5" xfId="0" applyNumberFormat="1" applyFont="1" applyFill="1" applyBorder="1" applyAlignment="1">
      <alignment horizontal="center"/>
    </xf>
    <xf numFmtId="0" fontId="2" fillId="4" borderId="13" xfId="0" applyFont="1" applyFill="1" applyBorder="1"/>
    <xf numFmtId="175" fontId="2" fillId="4" borderId="3" xfId="0" applyNumberFormat="1" applyFont="1" applyFill="1" applyBorder="1" applyAlignment="1">
      <alignment horizontal="center"/>
    </xf>
    <xf numFmtId="175" fontId="2" fillId="4" borderId="36" xfId="0" applyNumberFormat="1" applyFont="1" applyFill="1" applyBorder="1" applyAlignment="1">
      <alignment horizontal="center"/>
    </xf>
    <xf numFmtId="0" fontId="9" fillId="3" borderId="33" xfId="0" applyFont="1" applyFill="1" applyBorder="1"/>
    <xf numFmtId="165" fontId="9" fillId="3" borderId="64" xfId="0" applyNumberFormat="1" applyFont="1" applyFill="1" applyBorder="1" applyAlignment="1">
      <alignment horizontal="center"/>
    </xf>
    <xf numFmtId="165" fontId="9" fillId="3" borderId="24" xfId="0" applyNumberFormat="1" applyFont="1" applyFill="1" applyBorder="1" applyAlignment="1">
      <alignment horizontal="center"/>
    </xf>
    <xf numFmtId="0" fontId="12" fillId="3" borderId="49" xfId="0" applyFont="1" applyFill="1" applyBorder="1" applyAlignment="1">
      <alignment horizontal="center" wrapText="1"/>
    </xf>
    <xf numFmtId="179" fontId="9" fillId="3" borderId="5" xfId="0" applyNumberFormat="1" applyFont="1" applyFill="1" applyBorder="1" applyAlignment="1">
      <alignment horizontal="center"/>
    </xf>
    <xf numFmtId="175" fontId="9" fillId="3" borderId="10" xfId="0" applyNumberFormat="1" applyFont="1" applyFill="1" applyBorder="1" applyAlignment="1">
      <alignment horizontal="center"/>
    </xf>
    <xf numFmtId="179" fontId="9" fillId="3" borderId="1" xfId="0" applyNumberFormat="1" applyFont="1" applyFill="1" applyBorder="1" applyAlignment="1">
      <alignment horizontal="center"/>
    </xf>
    <xf numFmtId="175" fontId="9" fillId="3" borderId="12" xfId="0" applyNumberFormat="1" applyFont="1" applyFill="1" applyBorder="1" applyAlignment="1">
      <alignment horizontal="center"/>
    </xf>
    <xf numFmtId="166" fontId="9" fillId="3" borderId="6" xfId="0" applyNumberFormat="1" applyFont="1" applyFill="1" applyBorder="1" applyAlignment="1">
      <alignment horizontal="center"/>
    </xf>
    <xf numFmtId="179" fontId="9" fillId="3" borderId="6" xfId="0" applyNumberFormat="1" applyFont="1" applyFill="1" applyBorder="1" applyAlignment="1">
      <alignment horizontal="center"/>
    </xf>
    <xf numFmtId="175" fontId="9" fillId="3" borderId="16" xfId="0" applyNumberFormat="1" applyFont="1" applyFill="1" applyBorder="1" applyAlignment="1">
      <alignment horizontal="center"/>
    </xf>
    <xf numFmtId="165" fontId="9" fillId="3" borderId="41" xfId="0" applyNumberFormat="1" applyFont="1" applyFill="1" applyBorder="1" applyAlignment="1">
      <alignment horizontal="center"/>
    </xf>
    <xf numFmtId="165" fontId="9" fillId="3" borderId="32" xfId="0" applyNumberFormat="1" applyFont="1" applyFill="1" applyBorder="1" applyAlignment="1">
      <alignment horizontal="center"/>
    </xf>
    <xf numFmtId="165" fontId="9" fillId="3" borderId="23" xfId="0" applyNumberFormat="1" applyFont="1" applyFill="1" applyBorder="1" applyAlignment="1">
      <alignment horizontal="center"/>
    </xf>
    <xf numFmtId="0" fontId="2" fillId="0" borderId="11" xfId="0" applyFont="1" applyBorder="1" applyAlignment="1">
      <alignment wrapText="1"/>
    </xf>
    <xf numFmtId="0" fontId="2" fillId="0" borderId="13" xfId="0" applyFont="1" applyFill="1" applyBorder="1" applyAlignment="1">
      <alignment wrapText="1"/>
    </xf>
    <xf numFmtId="0" fontId="6" fillId="4" borderId="26" xfId="0" applyFont="1" applyFill="1" applyBorder="1" applyAlignment="1">
      <alignment horizontal="center"/>
    </xf>
    <xf numFmtId="165" fontId="9" fillId="3" borderId="71" xfId="0" applyNumberFormat="1" applyFont="1" applyFill="1" applyBorder="1" applyAlignment="1">
      <alignment horizontal="center"/>
    </xf>
    <xf numFmtId="0" fontId="9" fillId="0" borderId="11" xfId="0" applyFont="1" applyFill="1" applyBorder="1" applyAlignment="1">
      <alignment horizontal="center"/>
    </xf>
    <xf numFmtId="0" fontId="9" fillId="0" borderId="13" xfId="0" applyFont="1" applyFill="1" applyBorder="1" applyAlignment="1">
      <alignment horizontal="center"/>
    </xf>
    <xf numFmtId="0" fontId="12" fillId="3" borderId="34" xfId="0" applyFont="1" applyFill="1" applyBorder="1" applyAlignment="1">
      <alignment horizontal="center"/>
    </xf>
    <xf numFmtId="165" fontId="9" fillId="3" borderId="53" xfId="0" applyNumberFormat="1" applyFont="1" applyFill="1" applyBorder="1" applyAlignment="1">
      <alignment horizontal="center"/>
    </xf>
    <xf numFmtId="0" fontId="9" fillId="0" borderId="31" xfId="0" applyFont="1" applyBorder="1"/>
    <xf numFmtId="0" fontId="9" fillId="0" borderId="32" xfId="0" applyFont="1" applyBorder="1"/>
    <xf numFmtId="0" fontId="9" fillId="0" borderId="7" xfId="0" applyFont="1" applyBorder="1"/>
    <xf numFmtId="0" fontId="9" fillId="0" borderId="54" xfId="0" applyFont="1" applyBorder="1"/>
    <xf numFmtId="0" fontId="9" fillId="3" borderId="2" xfId="0" applyFont="1" applyFill="1" applyBorder="1" applyAlignment="1">
      <alignment horizontal="center"/>
    </xf>
    <xf numFmtId="172" fontId="1" fillId="2" borderId="4" xfId="0" applyNumberFormat="1" applyFont="1" applyFill="1" applyBorder="1" applyAlignment="1">
      <alignment horizontal="center"/>
    </xf>
    <xf numFmtId="167" fontId="1" fillId="2" borderId="8" xfId="0" applyNumberFormat="1" applyFont="1" applyFill="1" applyBorder="1" applyAlignment="1">
      <alignment horizontal="center"/>
    </xf>
    <xf numFmtId="0" fontId="9" fillId="0" borderId="8" xfId="0" applyFont="1" applyBorder="1" applyAlignment="1">
      <alignment horizontal="center"/>
    </xf>
    <xf numFmtId="2" fontId="9" fillId="3" borderId="62" xfId="0" applyNumberFormat="1" applyFont="1" applyFill="1" applyBorder="1" applyAlignment="1">
      <alignment horizontal="center"/>
    </xf>
    <xf numFmtId="0" fontId="9" fillId="0" borderId="19" xfId="0" applyFont="1" applyBorder="1"/>
    <xf numFmtId="193" fontId="1" fillId="2" borderId="34" xfId="0" applyNumberFormat="1" applyFont="1" applyFill="1" applyBorder="1" applyAlignment="1">
      <alignment horizontal="center"/>
    </xf>
    <xf numFmtId="0" fontId="10" fillId="0" borderId="31" xfId="0" applyFont="1" applyBorder="1"/>
    <xf numFmtId="0" fontId="10" fillId="0" borderId="24" xfId="0" applyFont="1" applyBorder="1" applyAlignment="1">
      <alignment horizontal="center"/>
    </xf>
    <xf numFmtId="0" fontId="10" fillId="0" borderId="24" xfId="0" applyFont="1" applyBorder="1"/>
    <xf numFmtId="0" fontId="10" fillId="0" borderId="62" xfId="0" applyFont="1" applyBorder="1" applyAlignment="1">
      <alignment horizontal="center"/>
    </xf>
    <xf numFmtId="0" fontId="2" fillId="3" borderId="32" xfId="0" applyFont="1" applyFill="1" applyBorder="1"/>
    <xf numFmtId="0" fontId="2" fillId="0" borderId="1" xfId="0" applyFont="1" applyBorder="1" applyAlignment="1">
      <alignment horizontal="center"/>
    </xf>
    <xf numFmtId="0" fontId="2" fillId="3" borderId="1" xfId="0" applyFont="1" applyFill="1" applyBorder="1"/>
    <xf numFmtId="0" fontId="2" fillId="0" borderId="45" xfId="0" applyFont="1" applyBorder="1" applyAlignment="1">
      <alignment horizontal="center"/>
    </xf>
    <xf numFmtId="0" fontId="2" fillId="3" borderId="54" xfId="0" applyFont="1" applyFill="1" applyBorder="1"/>
    <xf numFmtId="0" fontId="2" fillId="0" borderId="2" xfId="0" applyFont="1" applyBorder="1" applyAlignment="1">
      <alignment horizontal="center"/>
    </xf>
    <xf numFmtId="0" fontId="2" fillId="3" borderId="2" xfId="0" applyFont="1" applyFill="1" applyBorder="1"/>
    <xf numFmtId="0" fontId="2" fillId="0" borderId="70" xfId="0" applyFont="1" applyBorder="1" applyAlignment="1">
      <alignment horizontal="center"/>
    </xf>
    <xf numFmtId="0" fontId="21" fillId="5" borderId="32" xfId="0" applyFont="1" applyFill="1" applyBorder="1"/>
    <xf numFmtId="0" fontId="21" fillId="5" borderId="1" xfId="0" applyFont="1" applyFill="1" applyBorder="1"/>
    <xf numFmtId="0" fontId="6" fillId="4" borderId="56" xfId="0" applyFont="1" applyFill="1" applyBorder="1" applyAlignment="1">
      <alignment horizontal="center"/>
    </xf>
    <xf numFmtId="0" fontId="9" fillId="0" borderId="42" xfId="0" applyFont="1" applyBorder="1" applyAlignment="1">
      <alignment horizontal="center"/>
    </xf>
    <xf numFmtId="0" fontId="9" fillId="8" borderId="54" xfId="0" applyFont="1" applyFill="1" applyBorder="1"/>
    <xf numFmtId="0" fontId="9" fillId="8" borderId="1" xfId="0" applyFont="1" applyFill="1" applyBorder="1"/>
    <xf numFmtId="175" fontId="9" fillId="3" borderId="2" xfId="0" applyNumberFormat="1" applyFont="1" applyFill="1" applyBorder="1" applyAlignment="1">
      <alignment horizontal="center"/>
    </xf>
    <xf numFmtId="167" fontId="20" fillId="3" borderId="12" xfId="0" applyNumberFormat="1" applyFont="1" applyFill="1" applyBorder="1" applyAlignment="1">
      <alignment horizontal="center"/>
    </xf>
    <xf numFmtId="167" fontId="20" fillId="3" borderId="14" xfId="0" applyNumberFormat="1" applyFont="1" applyFill="1" applyBorder="1" applyAlignment="1">
      <alignment horizontal="center"/>
    </xf>
    <xf numFmtId="175" fontId="1" fillId="2" borderId="14" xfId="0" applyNumberFormat="1" applyFont="1" applyFill="1" applyBorder="1" applyAlignment="1">
      <alignment horizontal="center"/>
    </xf>
    <xf numFmtId="0" fontId="9" fillId="3" borderId="44" xfId="0" applyNumberFormat="1" applyFont="1" applyFill="1" applyBorder="1" applyAlignment="1">
      <alignment horizontal="center"/>
    </xf>
    <xf numFmtId="0" fontId="9" fillId="4" borderId="46" xfId="0" applyNumberFormat="1" applyFont="1" applyFill="1" applyBorder="1" applyAlignment="1">
      <alignment horizontal="center"/>
    </xf>
    <xf numFmtId="0" fontId="2" fillId="8" borderId="13" xfId="0" applyFont="1" applyFill="1" applyBorder="1" applyAlignment="1">
      <alignment wrapText="1"/>
    </xf>
    <xf numFmtId="175" fontId="2" fillId="3" borderId="3" xfId="0" applyNumberFormat="1" applyFont="1" applyFill="1" applyBorder="1" applyAlignment="1">
      <alignment horizontal="center"/>
    </xf>
    <xf numFmtId="0" fontId="9" fillId="3" borderId="46" xfId="0" applyNumberFormat="1" applyFont="1" applyFill="1" applyBorder="1" applyAlignment="1">
      <alignment horizontal="center"/>
    </xf>
    <xf numFmtId="175" fontId="2" fillId="3" borderId="36" xfId="0" applyNumberFormat="1" applyFont="1" applyFill="1" applyBorder="1" applyAlignment="1">
      <alignment horizontal="center"/>
    </xf>
    <xf numFmtId="0" fontId="6" fillId="2" borderId="7" xfId="0" applyFont="1" applyFill="1" applyBorder="1"/>
    <xf numFmtId="175" fontId="6" fillId="2" borderId="4" xfId="0" applyNumberFormat="1" applyFont="1" applyFill="1" applyBorder="1" applyAlignment="1">
      <alignment horizontal="center"/>
    </xf>
    <xf numFmtId="0" fontId="6" fillId="2" borderId="8" xfId="0" applyNumberFormat="1" applyFont="1" applyFill="1" applyBorder="1" applyAlignment="1">
      <alignment horizontal="center"/>
    </xf>
    <xf numFmtId="175" fontId="6" fillId="2" borderId="34" xfId="0" applyNumberFormat="1" applyFont="1" applyFill="1" applyBorder="1" applyAlignment="1">
      <alignment horizontal="center"/>
    </xf>
    <xf numFmtId="0" fontId="9" fillId="0" borderId="0" xfId="0" applyFont="1"/>
    <xf numFmtId="0" fontId="23" fillId="0" borderId="0" xfId="0" applyFont="1"/>
    <xf numFmtId="0" fontId="24" fillId="0" borderId="0" xfId="0" applyFont="1"/>
    <xf numFmtId="0" fontId="2" fillId="0" borderId="0" xfId="0" applyFont="1"/>
    <xf numFmtId="0" fontId="6" fillId="2" borderId="13" xfId="0" applyFont="1" applyFill="1" applyBorder="1" applyAlignment="1">
      <alignment horizontal="center"/>
    </xf>
    <xf numFmtId="181" fontId="9" fillId="5" borderId="45" xfId="0" applyNumberFormat="1" applyFont="1" applyFill="1" applyBorder="1" applyAlignment="1" applyProtection="1">
      <alignment horizontal="center"/>
      <protection locked="0"/>
    </xf>
    <xf numFmtId="10" fontId="9" fillId="5" borderId="56" xfId="1" applyNumberFormat="1" applyFont="1" applyFill="1" applyBorder="1" applyAlignment="1" applyProtection="1">
      <alignment horizontal="center"/>
      <protection locked="0"/>
    </xf>
    <xf numFmtId="10" fontId="9" fillId="5" borderId="42" xfId="1" applyNumberFormat="1" applyFont="1" applyFill="1" applyBorder="1" applyAlignment="1" applyProtection="1">
      <alignment horizontal="center"/>
      <protection locked="0"/>
    </xf>
    <xf numFmtId="10" fontId="9" fillId="5" borderId="58" xfId="1" applyNumberFormat="1" applyFont="1" applyFill="1" applyBorder="1" applyAlignment="1" applyProtection="1">
      <alignment horizontal="center"/>
      <protection locked="0"/>
    </xf>
    <xf numFmtId="10" fontId="9" fillId="5" borderId="1" xfId="1" applyNumberFormat="1" applyFont="1" applyFill="1" applyBorder="1" applyAlignment="1" applyProtection="1">
      <alignment horizontal="center"/>
      <protection locked="0"/>
    </xf>
    <xf numFmtId="10" fontId="9" fillId="5" borderId="71" xfId="1" applyNumberFormat="1" applyFont="1" applyFill="1" applyBorder="1" applyAlignment="1" applyProtection="1">
      <alignment horizontal="center"/>
      <protection locked="0"/>
    </xf>
    <xf numFmtId="181" fontId="9" fillId="5" borderId="44" xfId="0" applyNumberFormat="1" applyFont="1" applyFill="1" applyBorder="1" applyAlignment="1" applyProtection="1">
      <alignment horizontal="center"/>
      <protection locked="0"/>
    </xf>
    <xf numFmtId="0" fontId="9" fillId="5" borderId="38" xfId="0" applyFont="1" applyFill="1" applyBorder="1" applyAlignment="1" applyProtection="1">
      <alignment horizontal="center"/>
      <protection locked="0"/>
    </xf>
    <xf numFmtId="181" fontId="9" fillId="5" borderId="46" xfId="0" applyNumberFormat="1" applyFont="1" applyFill="1" applyBorder="1" applyAlignment="1" applyProtection="1">
      <alignment horizontal="center"/>
      <protection locked="0"/>
    </xf>
    <xf numFmtId="0" fontId="9" fillId="5" borderId="44"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181" fontId="9" fillId="5" borderId="5" xfId="0" applyNumberFormat="1" applyFont="1" applyFill="1" applyBorder="1" applyAlignment="1" applyProtection="1">
      <alignment horizontal="center"/>
      <protection locked="0"/>
    </xf>
    <xf numFmtId="0" fontId="9" fillId="5" borderId="1" xfId="0" applyFont="1" applyFill="1" applyBorder="1" applyAlignment="1" applyProtection="1">
      <alignment horizontal="center"/>
      <protection locked="0"/>
    </xf>
    <xf numFmtId="181" fontId="9" fillId="5" borderId="1" xfId="0" applyNumberFormat="1"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81" fontId="9" fillId="5" borderId="3" xfId="0" applyNumberFormat="1" applyFont="1" applyFill="1" applyBorder="1" applyAlignment="1" applyProtection="1">
      <alignment horizontal="center"/>
      <protection locked="0"/>
    </xf>
    <xf numFmtId="0" fontId="9" fillId="5" borderId="48" xfId="0" applyFont="1" applyFill="1" applyBorder="1" applyAlignment="1" applyProtection="1">
      <alignment horizontal="center"/>
      <protection locked="0"/>
    </xf>
    <xf numFmtId="181" fontId="9" fillId="5" borderId="62" xfId="0" applyNumberFormat="1" applyFont="1" applyFill="1" applyBorder="1" applyAlignment="1" applyProtection="1">
      <alignment horizontal="center"/>
      <protection locked="0"/>
    </xf>
    <xf numFmtId="164" fontId="9" fillId="5" borderId="1" xfId="0" applyNumberFormat="1" applyFont="1" applyFill="1" applyBorder="1" applyAlignment="1" applyProtection="1">
      <alignment horizontal="center"/>
      <protection locked="0"/>
    </xf>
    <xf numFmtId="188" fontId="9" fillId="5" borderId="1" xfId="0" applyNumberFormat="1" applyFont="1" applyFill="1" applyBorder="1" applyAlignment="1" applyProtection="1">
      <alignment horizontal="center"/>
      <protection locked="0"/>
    </xf>
    <xf numFmtId="185" fontId="9" fillId="5" borderId="1" xfId="0" applyNumberFormat="1" applyFont="1" applyFill="1" applyBorder="1" applyAlignment="1" applyProtection="1">
      <alignment horizontal="center"/>
      <protection locked="0"/>
    </xf>
    <xf numFmtId="0" fontId="9" fillId="10" borderId="24" xfId="0" applyFont="1" applyFill="1" applyBorder="1" applyAlignment="1" applyProtection="1">
      <alignment horizontal="center"/>
      <protection locked="0"/>
    </xf>
    <xf numFmtId="10" fontId="9" fillId="5" borderId="41" xfId="1" applyNumberFormat="1" applyFont="1" applyFill="1" applyBorder="1" applyAlignment="1" applyProtection="1">
      <alignment horizontal="center"/>
      <protection locked="0"/>
    </xf>
    <xf numFmtId="165" fontId="9" fillId="5" borderId="32" xfId="0" applyNumberFormat="1" applyFont="1" applyFill="1" applyBorder="1" applyAlignment="1" applyProtection="1">
      <alignment horizontal="center"/>
      <protection locked="0"/>
    </xf>
    <xf numFmtId="10" fontId="9" fillId="5" borderId="32" xfId="1" applyNumberFormat="1" applyFont="1" applyFill="1" applyBorder="1" applyAlignment="1" applyProtection="1">
      <alignment horizontal="center"/>
      <protection locked="0"/>
    </xf>
    <xf numFmtId="177" fontId="9" fillId="5" borderId="1" xfId="0" applyNumberFormat="1" applyFont="1" applyFill="1" applyBorder="1" applyAlignment="1" applyProtection="1">
      <alignment horizontal="center"/>
      <protection locked="0"/>
    </xf>
    <xf numFmtId="178" fontId="9" fillId="5" borderId="1" xfId="0" applyNumberFormat="1" applyFont="1" applyFill="1" applyBorder="1" applyAlignment="1" applyProtection="1">
      <alignment horizontal="center"/>
      <protection locked="0"/>
    </xf>
    <xf numFmtId="0" fontId="9" fillId="5" borderId="24"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2" fontId="9" fillId="5" borderId="24" xfId="0" applyNumberFormat="1" applyFont="1" applyFill="1" applyBorder="1" applyAlignment="1" applyProtection="1">
      <alignment horizontal="center"/>
      <protection locked="0"/>
    </xf>
    <xf numFmtId="2" fontId="9" fillId="5" borderId="1" xfId="0" applyNumberFormat="1" applyFont="1" applyFill="1" applyBorder="1" applyAlignment="1" applyProtection="1">
      <alignment horizontal="center"/>
      <protection locked="0"/>
    </xf>
    <xf numFmtId="0" fontId="6" fillId="10" borderId="14" xfId="0" applyFont="1" applyFill="1" applyBorder="1" applyAlignment="1" applyProtection="1">
      <alignment horizontal="center"/>
      <protection locked="0"/>
    </xf>
    <xf numFmtId="0" fontId="9" fillId="5" borderId="37" xfId="0" applyFont="1" applyFill="1" applyBorder="1" applyAlignment="1" applyProtection="1">
      <alignment horizontal="center"/>
      <protection locked="0"/>
    </xf>
    <xf numFmtId="0" fontId="9" fillId="5" borderId="39" xfId="0" applyFont="1" applyFill="1" applyBorder="1" applyAlignment="1" applyProtection="1">
      <alignment horizontal="center"/>
      <protection locked="0"/>
    </xf>
    <xf numFmtId="0" fontId="12" fillId="3" borderId="53" xfId="0" applyFont="1" applyFill="1" applyBorder="1" applyAlignment="1">
      <alignment horizontal="center"/>
    </xf>
    <xf numFmtId="0" fontId="12" fillId="3" borderId="51" xfId="0" applyFont="1" applyFill="1" applyBorder="1" applyAlignment="1">
      <alignment horizontal="center"/>
    </xf>
    <xf numFmtId="0" fontId="9" fillId="3" borderId="69" xfId="0" applyFont="1" applyFill="1" applyBorder="1"/>
    <xf numFmtId="0" fontId="5" fillId="2" borderId="34" xfId="0" applyFont="1" applyFill="1" applyBorder="1" applyAlignment="1">
      <alignment horizontal="center"/>
    </xf>
    <xf numFmtId="165" fontId="5" fillId="2" borderId="30" xfId="0" applyNumberFormat="1" applyFont="1" applyFill="1" applyBorder="1" applyAlignment="1">
      <alignment horizontal="center"/>
    </xf>
    <xf numFmtId="176" fontId="5" fillId="2" borderId="4" xfId="0" applyNumberFormat="1" applyFont="1" applyFill="1" applyBorder="1" applyAlignment="1">
      <alignment horizontal="center"/>
    </xf>
    <xf numFmtId="177" fontId="5" fillId="2" borderId="4" xfId="0" applyNumberFormat="1" applyFont="1" applyFill="1" applyBorder="1" applyAlignment="1">
      <alignment horizontal="center"/>
    </xf>
    <xf numFmtId="178" fontId="5" fillId="2" borderId="4" xfId="0" applyNumberFormat="1" applyFont="1" applyFill="1" applyBorder="1" applyAlignment="1">
      <alignment horizontal="center"/>
    </xf>
    <xf numFmtId="174" fontId="5" fillId="2" borderId="8" xfId="0" applyNumberFormat="1" applyFont="1" applyFill="1" applyBorder="1" applyAlignment="1">
      <alignment horizontal="center"/>
    </xf>
    <xf numFmtId="0" fontId="12" fillId="3" borderId="27" xfId="0" applyFont="1" applyFill="1" applyBorder="1" applyAlignment="1">
      <alignment horizontal="center"/>
    </xf>
    <xf numFmtId="0" fontId="9" fillId="5" borderId="33" xfId="0" applyFont="1" applyFill="1" applyBorder="1" applyProtection="1">
      <protection locked="0"/>
    </xf>
    <xf numFmtId="165" fontId="9" fillId="5" borderId="41" xfId="0" applyNumberFormat="1" applyFont="1" applyFill="1" applyBorder="1" applyAlignment="1" applyProtection="1">
      <alignment horizontal="center"/>
      <protection locked="0"/>
    </xf>
    <xf numFmtId="0" fontId="9" fillId="5" borderId="35" xfId="0" applyFont="1" applyFill="1" applyBorder="1" applyProtection="1">
      <protection locked="0"/>
    </xf>
    <xf numFmtId="0" fontId="9" fillId="5" borderId="69" xfId="0" applyFont="1" applyFill="1" applyBorder="1" applyProtection="1">
      <protection locked="0"/>
    </xf>
    <xf numFmtId="165" fontId="9" fillId="5" borderId="54" xfId="0" applyNumberFormat="1" applyFont="1" applyFill="1" applyBorder="1" applyAlignment="1" applyProtection="1">
      <alignment horizontal="center"/>
      <protection locked="0"/>
    </xf>
    <xf numFmtId="10" fontId="9" fillId="5" borderId="54" xfId="1" applyNumberFormat="1" applyFont="1" applyFill="1" applyBorder="1" applyAlignment="1" applyProtection="1">
      <alignment horizontal="center"/>
      <protection locked="0"/>
    </xf>
    <xf numFmtId="175" fontId="9" fillId="5" borderId="65" xfId="0" applyNumberFormat="1" applyFont="1" applyFill="1" applyBorder="1" applyAlignment="1" applyProtection="1">
      <alignment horizontal="center"/>
      <protection locked="0"/>
    </xf>
    <xf numFmtId="175" fontId="9" fillId="5" borderId="45" xfId="0" applyNumberFormat="1" applyFont="1" applyFill="1" applyBorder="1" applyAlignment="1" applyProtection="1">
      <alignment horizontal="center"/>
      <protection locked="0"/>
    </xf>
    <xf numFmtId="175" fontId="9" fillId="5" borderId="48" xfId="0" applyNumberFormat="1" applyFont="1" applyFill="1" applyBorder="1" applyAlignment="1" applyProtection="1">
      <alignment horizontal="center"/>
      <protection locked="0"/>
    </xf>
    <xf numFmtId="0" fontId="10" fillId="5" borderId="72" xfId="0" applyFont="1" applyFill="1" applyBorder="1" applyProtection="1">
      <protection locked="0"/>
    </xf>
    <xf numFmtId="165" fontId="9" fillId="5" borderId="24" xfId="0" applyNumberFormat="1" applyFont="1" applyFill="1" applyBorder="1" applyAlignment="1" applyProtection="1">
      <alignment horizontal="center"/>
      <protection locked="0"/>
    </xf>
    <xf numFmtId="0" fontId="10" fillId="5" borderId="37" xfId="0" applyFont="1" applyFill="1" applyBorder="1" applyProtection="1">
      <protection locked="0"/>
    </xf>
    <xf numFmtId="165" fontId="9" fillId="5" borderId="1" xfId="0" applyNumberFormat="1" applyFont="1" applyFill="1" applyBorder="1" applyAlignment="1" applyProtection="1">
      <alignment horizontal="center"/>
      <protection locked="0"/>
    </xf>
    <xf numFmtId="10" fontId="9" fillId="5" borderId="31" xfId="1" applyNumberFormat="1" applyFont="1" applyFill="1" applyBorder="1" applyAlignment="1" applyProtection="1">
      <alignment horizontal="center"/>
      <protection locked="0"/>
    </xf>
    <xf numFmtId="0" fontId="10" fillId="5" borderId="38" xfId="0" applyFont="1" applyFill="1" applyBorder="1" applyProtection="1">
      <protection locked="0"/>
    </xf>
    <xf numFmtId="0" fontId="10" fillId="5" borderId="39" xfId="0" applyFont="1" applyFill="1" applyBorder="1" applyProtection="1">
      <protection locked="0"/>
    </xf>
    <xf numFmtId="165" fontId="9" fillId="5" borderId="2" xfId="0" applyNumberFormat="1" applyFont="1" applyFill="1" applyBorder="1" applyAlignment="1" applyProtection="1">
      <alignment horizontal="center"/>
      <protection locked="0"/>
    </xf>
    <xf numFmtId="0" fontId="10" fillId="5" borderId="33" xfId="0" applyFont="1" applyFill="1" applyBorder="1" applyProtection="1">
      <protection locked="0"/>
    </xf>
    <xf numFmtId="0" fontId="10" fillId="5" borderId="35" xfId="0" applyFont="1" applyFill="1" applyBorder="1" applyProtection="1">
      <protection locked="0"/>
    </xf>
    <xf numFmtId="0" fontId="10" fillId="5" borderId="69" xfId="0" applyFont="1" applyFill="1" applyBorder="1" applyProtection="1">
      <protection locked="0"/>
    </xf>
    <xf numFmtId="0" fontId="12" fillId="3" borderId="2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7" xfId="0" applyFont="1" applyFill="1" applyBorder="1" applyAlignment="1">
      <alignment horizontal="center" vertical="center" wrapText="1"/>
    </xf>
    <xf numFmtId="175" fontId="9" fillId="5" borderId="5" xfId="0" applyNumberFormat="1" applyFont="1" applyFill="1" applyBorder="1" applyAlignment="1" applyProtection="1">
      <alignment horizontal="center"/>
      <protection locked="0"/>
    </xf>
    <xf numFmtId="175" fontId="9" fillId="5" borderId="1" xfId="0" applyNumberFormat="1" applyFont="1" applyFill="1" applyBorder="1" applyAlignment="1" applyProtection="1">
      <alignment horizontal="center"/>
      <protection locked="0"/>
    </xf>
    <xf numFmtId="175" fontId="9" fillId="5" borderId="2" xfId="0" applyNumberFormat="1" applyFont="1" applyFill="1" applyBorder="1" applyAlignment="1" applyProtection="1">
      <alignment horizontal="center"/>
      <protection locked="0"/>
    </xf>
    <xf numFmtId="0" fontId="9" fillId="8" borderId="50" xfId="0" applyFont="1" applyFill="1" applyBorder="1"/>
    <xf numFmtId="175" fontId="9" fillId="5" borderId="53" xfId="0" applyNumberFormat="1" applyFont="1" applyFill="1" applyBorder="1" applyAlignment="1" applyProtection="1">
      <alignment horizontal="center"/>
      <protection locked="0"/>
    </xf>
    <xf numFmtId="182" fontId="6" fillId="2" borderId="4" xfId="0" applyNumberFormat="1" applyFont="1" applyFill="1" applyBorder="1" applyAlignment="1">
      <alignment horizontal="center"/>
    </xf>
    <xf numFmtId="174" fontId="6" fillId="2" borderId="4" xfId="0" applyNumberFormat="1" applyFont="1" applyFill="1" applyBorder="1" applyAlignment="1">
      <alignment horizontal="center"/>
    </xf>
    <xf numFmtId="183" fontId="6" fillId="2" borderId="8" xfId="0" applyNumberFormat="1" applyFont="1" applyFill="1" applyBorder="1" applyAlignment="1">
      <alignment horizontal="center"/>
    </xf>
    <xf numFmtId="175" fontId="2" fillId="5" borderId="5" xfId="0" applyNumberFormat="1" applyFont="1" applyFill="1" applyBorder="1" applyAlignment="1" applyProtection="1">
      <alignment horizontal="center" wrapText="1"/>
      <protection locked="0"/>
    </xf>
    <xf numFmtId="2" fontId="6" fillId="5" borderId="4" xfId="0" applyNumberFormat="1" applyFont="1" applyFill="1" applyBorder="1" applyAlignment="1" applyProtection="1">
      <alignment horizontal="center"/>
      <protection locked="0"/>
    </xf>
    <xf numFmtId="0" fontId="2" fillId="0" borderId="0" xfId="0" applyFont="1" applyBorder="1"/>
    <xf numFmtId="0" fontId="25" fillId="0" borderId="1" xfId="0" applyFont="1" applyBorder="1" applyAlignment="1">
      <alignment horizontal="center"/>
    </xf>
    <xf numFmtId="0" fontId="15" fillId="2" borderId="50" xfId="0" applyFont="1" applyFill="1" applyBorder="1" applyAlignment="1">
      <alignment horizontal="center"/>
    </xf>
    <xf numFmtId="0" fontId="9" fillId="0" borderId="24"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5"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0" fillId="0" borderId="49" xfId="0" applyFont="1" applyBorder="1"/>
    <xf numFmtId="0" fontId="10" fillId="0" borderId="60" xfId="0" applyFont="1" applyBorder="1"/>
    <xf numFmtId="189" fontId="9" fillId="5" borderId="24" xfId="0" applyNumberFormat="1" applyFont="1" applyFill="1" applyBorder="1" applyAlignment="1" applyProtection="1">
      <alignment horizontal="center"/>
      <protection locked="0"/>
    </xf>
    <xf numFmtId="189" fontId="9" fillId="5" borderId="1" xfId="0" applyNumberFormat="1" applyFont="1" applyFill="1" applyBorder="1" applyAlignment="1" applyProtection="1">
      <alignment horizontal="center"/>
      <protection locked="0"/>
    </xf>
    <xf numFmtId="189" fontId="9" fillId="5" borderId="2" xfId="0" applyNumberFormat="1" applyFont="1" applyFill="1" applyBorder="1" applyAlignment="1" applyProtection="1">
      <alignment horizontal="center"/>
      <protection locked="0"/>
    </xf>
    <xf numFmtId="167" fontId="9" fillId="3" borderId="24" xfId="0" applyNumberFormat="1" applyFont="1" applyFill="1" applyBorder="1" applyAlignment="1">
      <alignment horizontal="center"/>
    </xf>
    <xf numFmtId="167" fontId="9" fillId="3" borderId="31" xfId="0" applyNumberFormat="1" applyFont="1" applyFill="1" applyBorder="1" applyAlignment="1">
      <alignment horizontal="center"/>
    </xf>
    <xf numFmtId="0" fontId="14" fillId="8" borderId="9" xfId="0" applyFont="1" applyFill="1" applyBorder="1" applyAlignment="1">
      <alignment horizontal="center"/>
    </xf>
    <xf numFmtId="0" fontId="2" fillId="5" borderId="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164" fontId="1" fillId="2" borderId="8" xfId="0" applyNumberFormat="1" applyFont="1" applyFill="1" applyBorder="1" applyAlignment="1">
      <alignment horizontal="center"/>
    </xf>
    <xf numFmtId="0" fontId="5" fillId="2" borderId="8" xfId="0" applyNumberFormat="1" applyFont="1" applyFill="1" applyBorder="1" applyAlignment="1">
      <alignment horizontal="center"/>
    </xf>
    <xf numFmtId="175" fontId="9" fillId="5" borderId="44" xfId="0" applyNumberFormat="1" applyFont="1" applyFill="1" applyBorder="1" applyAlignment="1" applyProtection="1">
      <alignment horizontal="center"/>
      <protection locked="0"/>
    </xf>
    <xf numFmtId="175" fontId="9" fillId="5" borderId="70" xfId="0" applyNumberFormat="1" applyFont="1" applyFill="1" applyBorder="1" applyAlignment="1" applyProtection="1">
      <alignment horizontal="center"/>
      <protection locked="0"/>
    </xf>
    <xf numFmtId="175" fontId="5" fillId="2" borderId="48" xfId="0" applyNumberFormat="1" applyFont="1" applyFill="1" applyBorder="1" applyAlignment="1">
      <alignment horizontal="center"/>
    </xf>
    <xf numFmtId="0" fontId="12" fillId="3" borderId="34" xfId="0" applyFont="1" applyFill="1" applyBorder="1" applyAlignment="1" applyProtection="1">
      <alignment horizontal="center" vertical="center" wrapText="1"/>
    </xf>
    <xf numFmtId="175" fontId="9" fillId="3" borderId="24" xfId="0" applyNumberFormat="1" applyFont="1" applyFill="1" applyBorder="1" applyAlignment="1" applyProtection="1">
      <alignment horizontal="center"/>
    </xf>
    <xf numFmtId="175" fontId="5" fillId="2" borderId="34" xfId="0" applyNumberFormat="1" applyFont="1" applyFill="1" applyBorder="1" applyAlignment="1" applyProtection="1">
      <alignment horizontal="center"/>
    </xf>
    <xf numFmtId="0" fontId="12" fillId="3" borderId="34" xfId="0" applyFont="1" applyFill="1" applyBorder="1" applyAlignment="1" applyProtection="1">
      <alignment horizontal="center"/>
    </xf>
    <xf numFmtId="0" fontId="9" fillId="5" borderId="63" xfId="0" applyFont="1" applyFill="1" applyBorder="1" applyAlignment="1" applyProtection="1">
      <alignment horizontal="center"/>
      <protection locked="0"/>
    </xf>
    <xf numFmtId="164" fontId="9" fillId="5" borderId="64" xfId="0" applyNumberFormat="1" applyFont="1" applyFill="1" applyBorder="1" applyAlignment="1" applyProtection="1">
      <alignment horizontal="center"/>
      <protection locked="0"/>
    </xf>
    <xf numFmtId="188" fontId="9" fillId="5" borderId="64" xfId="0" applyNumberFormat="1" applyFont="1" applyFill="1" applyBorder="1" applyAlignment="1" applyProtection="1">
      <alignment horizontal="center"/>
      <protection locked="0"/>
    </xf>
    <xf numFmtId="185" fontId="9" fillId="5" borderId="64" xfId="0" applyNumberFormat="1" applyFont="1" applyFill="1" applyBorder="1" applyAlignment="1" applyProtection="1">
      <alignment horizontal="center"/>
      <protection locked="0"/>
    </xf>
    <xf numFmtId="0" fontId="9" fillId="10" borderId="64" xfId="0" applyFont="1" applyFill="1" applyBorder="1" applyAlignment="1" applyProtection="1">
      <alignment horizontal="center"/>
      <protection locked="0"/>
    </xf>
    <xf numFmtId="166" fontId="9" fillId="3" borderId="64" xfId="0" applyNumberFormat="1" applyFont="1" applyFill="1" applyBorder="1" applyAlignment="1">
      <alignment horizontal="center"/>
    </xf>
    <xf numFmtId="0" fontId="9" fillId="5" borderId="50" xfId="0" applyFont="1" applyFill="1" applyBorder="1" applyAlignment="1" applyProtection="1">
      <alignment horizontal="center"/>
      <protection locked="0"/>
    </xf>
    <xf numFmtId="164" fontId="9" fillId="5" borderId="53" xfId="0" applyNumberFormat="1" applyFont="1" applyFill="1" applyBorder="1" applyAlignment="1" applyProtection="1">
      <alignment horizontal="center"/>
      <protection locked="0"/>
    </xf>
    <xf numFmtId="188" fontId="9" fillId="5" borderId="53" xfId="0" applyNumberFormat="1" applyFont="1" applyFill="1" applyBorder="1" applyAlignment="1" applyProtection="1">
      <alignment horizontal="center"/>
      <protection locked="0"/>
    </xf>
    <xf numFmtId="185" fontId="9" fillId="5" borderId="53" xfId="0" applyNumberFormat="1" applyFont="1" applyFill="1" applyBorder="1" applyAlignment="1" applyProtection="1">
      <alignment horizontal="center"/>
      <protection locked="0"/>
    </xf>
    <xf numFmtId="0" fontId="9" fillId="10" borderId="1" xfId="0" applyFont="1" applyFill="1" applyBorder="1" applyAlignment="1" applyProtection="1">
      <alignment horizontal="center"/>
      <protection locked="0"/>
    </xf>
    <xf numFmtId="0" fontId="9" fillId="10" borderId="28" xfId="0" applyFont="1" applyFill="1" applyBorder="1" applyProtection="1">
      <protection locked="0"/>
    </xf>
    <xf numFmtId="179" fontId="9" fillId="3" borderId="65" xfId="0" applyNumberFormat="1" applyFont="1" applyFill="1" applyBorder="1" applyAlignment="1">
      <alignment horizontal="center"/>
    </xf>
    <xf numFmtId="0" fontId="9" fillId="10" borderId="32" xfId="0" applyFont="1" applyFill="1" applyBorder="1" applyProtection="1">
      <protection locked="0"/>
    </xf>
    <xf numFmtId="179" fontId="9" fillId="3" borderId="45" xfId="0" applyNumberFormat="1" applyFont="1" applyFill="1" applyBorder="1" applyAlignment="1">
      <alignment horizontal="center"/>
    </xf>
    <xf numFmtId="0" fontId="9" fillId="10" borderId="66" xfId="0" applyFont="1" applyFill="1" applyBorder="1" applyProtection="1">
      <protection locked="0"/>
    </xf>
    <xf numFmtId="179" fontId="9" fillId="3" borderId="62" xfId="0" applyNumberFormat="1" applyFont="1" applyFill="1" applyBorder="1" applyAlignment="1">
      <alignment horizontal="center"/>
    </xf>
    <xf numFmtId="0" fontId="1" fillId="2" borderId="50" xfId="0" applyFont="1" applyFill="1" applyBorder="1" applyAlignment="1">
      <alignment horizontal="left"/>
    </xf>
    <xf numFmtId="0" fontId="1" fillId="2" borderId="63" xfId="0" applyFont="1" applyFill="1" applyBorder="1" applyAlignment="1">
      <alignment horizontal="left"/>
    </xf>
    <xf numFmtId="164" fontId="1" fillId="2" borderId="64" xfId="0" applyNumberFormat="1" applyFont="1" applyFill="1" applyBorder="1" applyAlignment="1">
      <alignment horizontal="center"/>
    </xf>
    <xf numFmtId="184" fontId="1" fillId="2" borderId="64" xfId="0" applyNumberFormat="1" applyFont="1" applyFill="1" applyBorder="1" applyAlignment="1">
      <alignment horizontal="center"/>
    </xf>
    <xf numFmtId="0" fontId="1" fillId="2" borderId="64" xfId="0" applyFont="1" applyFill="1" applyBorder="1" applyAlignment="1">
      <alignment horizontal="center"/>
    </xf>
    <xf numFmtId="186" fontId="1" fillId="2" borderId="64" xfId="0" applyNumberFormat="1" applyFont="1" applyFill="1" applyBorder="1" applyAlignment="1">
      <alignment horizontal="center"/>
    </xf>
    <xf numFmtId="170" fontId="1" fillId="2" borderId="64" xfId="0" applyNumberFormat="1" applyFont="1" applyFill="1" applyBorder="1" applyAlignment="1">
      <alignment horizontal="center"/>
    </xf>
    <xf numFmtId="187" fontId="1" fillId="2" borderId="65" xfId="0" applyNumberFormat="1" applyFont="1" applyFill="1" applyBorder="1" applyAlignment="1">
      <alignment horizontal="center"/>
    </xf>
    <xf numFmtId="0" fontId="22" fillId="0" borderId="0" xfId="0" applyFont="1" applyBorder="1" applyAlignment="1">
      <alignment horizontal="center" vertical="center"/>
    </xf>
    <xf numFmtId="0" fontId="28" fillId="0" borderId="0" xfId="0" applyFont="1"/>
    <xf numFmtId="0" fontId="3" fillId="0" borderId="0" xfId="0" applyNumberFormat="1" applyFont="1" applyBorder="1" applyAlignment="1" applyProtection="1">
      <alignment horizontal="center"/>
      <protection locked="0"/>
    </xf>
    <xf numFmtId="0" fontId="30" fillId="0" borderId="0" xfId="0" applyFont="1" applyBorder="1" applyAlignment="1">
      <alignment horizontal="center"/>
    </xf>
    <xf numFmtId="0" fontId="0" fillId="0" borderId="0" xfId="0" applyAlignment="1"/>
    <xf numFmtId="0" fontId="3" fillId="0" borderId="0" xfId="0" applyFont="1" applyBorder="1" applyAlignment="1"/>
    <xf numFmtId="0" fontId="0" fillId="0" borderId="30" xfId="0" applyBorder="1"/>
    <xf numFmtId="0" fontId="9" fillId="4" borderId="31" xfId="0" applyFont="1" applyFill="1" applyBorder="1" applyAlignment="1">
      <alignment horizontal="left"/>
    </xf>
    <xf numFmtId="0" fontId="9" fillId="4" borderId="54" xfId="0" applyFont="1" applyFill="1" applyBorder="1"/>
    <xf numFmtId="0" fontId="9" fillId="0" borderId="40" xfId="0" applyFont="1" applyFill="1" applyBorder="1" applyAlignment="1">
      <alignment horizontal="center"/>
    </xf>
    <xf numFmtId="175" fontId="9" fillId="3" borderId="62" xfId="0" applyNumberFormat="1" applyFont="1" applyFill="1" applyBorder="1" applyAlignment="1">
      <alignment horizontal="center"/>
    </xf>
    <xf numFmtId="175" fontId="9" fillId="3" borderId="70" xfId="0" applyNumberFormat="1" applyFont="1" applyFill="1" applyBorder="1" applyAlignment="1">
      <alignment horizontal="center"/>
    </xf>
    <xf numFmtId="0" fontId="1" fillId="2" borderId="63" xfId="0" applyFont="1" applyFill="1" applyBorder="1"/>
    <xf numFmtId="190" fontId="1" fillId="2" borderId="65" xfId="0" applyNumberFormat="1" applyFont="1" applyFill="1" applyBorder="1" applyAlignment="1">
      <alignment horizontal="center"/>
    </xf>
    <xf numFmtId="0" fontId="1" fillId="0" borderId="0" xfId="0" applyFont="1" applyFill="1" applyBorder="1"/>
    <xf numFmtId="190" fontId="1" fillId="0" borderId="0" xfId="0" applyNumberFormat="1" applyFont="1" applyFill="1" applyBorder="1" applyAlignment="1">
      <alignment horizontal="center"/>
    </xf>
    <xf numFmtId="0" fontId="28" fillId="0" borderId="0" xfId="0" applyFont="1" applyFill="1" applyBorder="1"/>
    <xf numFmtId="165" fontId="28" fillId="0" borderId="0" xfId="0" applyNumberFormat="1" applyFont="1" applyFill="1" applyBorder="1" applyAlignment="1">
      <alignment horizontal="center"/>
    </xf>
    <xf numFmtId="166" fontId="28" fillId="0" borderId="0" xfId="0" applyNumberFormat="1" applyFont="1" applyFill="1" applyBorder="1" applyAlignment="1">
      <alignment horizontal="center"/>
    </xf>
    <xf numFmtId="179" fontId="28" fillId="0" borderId="0" xfId="0" applyNumberFormat="1" applyFont="1" applyFill="1" applyBorder="1" applyAlignment="1">
      <alignment horizontal="center"/>
    </xf>
    <xf numFmtId="0" fontId="15" fillId="3" borderId="51" xfId="0" applyFont="1" applyFill="1" applyBorder="1" applyAlignment="1">
      <alignment horizontal="center"/>
    </xf>
    <xf numFmtId="165" fontId="9" fillId="3" borderId="2" xfId="0" applyNumberFormat="1" applyFont="1" applyFill="1" applyBorder="1" applyAlignment="1">
      <alignment horizontal="center"/>
    </xf>
    <xf numFmtId="166" fontId="9" fillId="3" borderId="2" xfId="0" applyNumberFormat="1" applyFont="1" applyFill="1" applyBorder="1" applyAlignment="1">
      <alignment horizontal="center"/>
    </xf>
    <xf numFmtId="179" fontId="9" fillId="3" borderId="18" xfId="0" applyNumberFormat="1" applyFont="1" applyFill="1" applyBorder="1" applyAlignment="1">
      <alignment horizontal="center"/>
    </xf>
    <xf numFmtId="165" fontId="28" fillId="2" borderId="4" xfId="0" applyNumberFormat="1" applyFont="1" applyFill="1" applyBorder="1" applyAlignment="1">
      <alignment horizontal="center"/>
    </xf>
    <xf numFmtId="166" fontId="28" fillId="2" borderId="4" xfId="0" applyNumberFormat="1" applyFont="1" applyFill="1" applyBorder="1" applyAlignment="1">
      <alignment horizontal="center"/>
    </xf>
    <xf numFmtId="179" fontId="28" fillId="2" borderId="8" xfId="0" applyNumberFormat="1" applyFont="1" applyFill="1" applyBorder="1" applyAlignment="1">
      <alignment horizontal="center"/>
    </xf>
    <xf numFmtId="0" fontId="9" fillId="5" borderId="47" xfId="0" applyFont="1" applyFill="1" applyBorder="1" applyAlignment="1" applyProtection="1">
      <alignment horizontal="center"/>
      <protection locked="0"/>
    </xf>
    <xf numFmtId="181" fontId="9" fillId="5" borderId="47" xfId="0" applyNumberFormat="1" applyFont="1" applyFill="1" applyBorder="1" applyAlignment="1" applyProtection="1">
      <alignment horizontal="center"/>
      <protection locked="0"/>
    </xf>
    <xf numFmtId="0" fontId="9" fillId="5" borderId="65" xfId="0" applyFont="1" applyFill="1" applyBorder="1" applyAlignment="1" applyProtection="1">
      <alignment horizontal="center"/>
      <protection locked="0"/>
    </xf>
    <xf numFmtId="0" fontId="9" fillId="0" borderId="15" xfId="0" applyFont="1" applyBorder="1" applyAlignment="1">
      <alignment horizontal="center"/>
    </xf>
    <xf numFmtId="165" fontId="9" fillId="3" borderId="72" xfId="0" applyNumberFormat="1" applyFont="1" applyFill="1" applyBorder="1" applyAlignment="1">
      <alignment horizontal="center"/>
    </xf>
    <xf numFmtId="165" fontId="9" fillId="3" borderId="38" xfId="0" applyNumberFormat="1" applyFont="1" applyFill="1" applyBorder="1" applyAlignment="1">
      <alignment horizontal="center"/>
    </xf>
    <xf numFmtId="165" fontId="9" fillId="3" borderId="39" xfId="0" applyNumberFormat="1" applyFont="1" applyFill="1" applyBorder="1" applyAlignment="1">
      <alignment horizontal="center"/>
    </xf>
    <xf numFmtId="181" fontId="9" fillId="5" borderId="24" xfId="0" applyNumberFormat="1" applyFont="1" applyFill="1" applyBorder="1" applyAlignment="1" applyProtection="1">
      <alignment horizontal="center"/>
      <protection locked="0"/>
    </xf>
    <xf numFmtId="165" fontId="9" fillId="3" borderId="73" xfId="0" applyNumberFormat="1" applyFont="1" applyFill="1" applyBorder="1" applyAlignment="1">
      <alignment horizontal="center"/>
    </xf>
    <xf numFmtId="165" fontId="9" fillId="3" borderId="37" xfId="0" applyNumberFormat="1" applyFont="1" applyFill="1" applyBorder="1" applyAlignment="1">
      <alignment horizontal="center"/>
    </xf>
    <xf numFmtId="165" fontId="9" fillId="3" borderId="27" xfId="0" applyNumberFormat="1" applyFont="1" applyFill="1" applyBorder="1" applyAlignment="1">
      <alignment horizontal="center"/>
    </xf>
    <xf numFmtId="0" fontId="6" fillId="0" borderId="74" xfId="0" applyFont="1" applyFill="1" applyBorder="1" applyAlignment="1">
      <alignment horizontal="center"/>
    </xf>
    <xf numFmtId="165" fontId="9" fillId="3" borderId="62" xfId="0" applyNumberFormat="1" applyFont="1" applyFill="1" applyBorder="1" applyAlignment="1">
      <alignment horizontal="center"/>
    </xf>
    <xf numFmtId="165" fontId="9" fillId="3" borderId="46" xfId="0" applyNumberFormat="1" applyFont="1" applyFill="1" applyBorder="1" applyAlignment="1">
      <alignment horizontal="center"/>
    </xf>
    <xf numFmtId="165" fontId="9" fillId="3" borderId="45" xfId="0" applyNumberFormat="1" applyFont="1" applyFill="1" applyBorder="1" applyAlignment="1">
      <alignment horizontal="center"/>
    </xf>
    <xf numFmtId="10" fontId="9" fillId="5" borderId="33" xfId="1" applyNumberFormat="1" applyFont="1" applyFill="1" applyBorder="1" applyAlignment="1" applyProtection="1">
      <alignment horizontal="center"/>
      <protection locked="0"/>
    </xf>
    <xf numFmtId="10" fontId="9" fillId="5" borderId="36" xfId="1" applyNumberFormat="1" applyFont="1" applyFill="1" applyBorder="1" applyAlignment="1" applyProtection="1">
      <alignment horizontal="center"/>
      <protection locked="0"/>
    </xf>
    <xf numFmtId="10" fontId="9" fillId="5" borderId="67" xfId="1" applyNumberFormat="1" applyFont="1" applyFill="1" applyBorder="1" applyAlignment="1" applyProtection="1">
      <alignment horizontal="center"/>
      <protection locked="0"/>
    </xf>
    <xf numFmtId="10" fontId="9" fillId="5" borderId="27" xfId="1" applyNumberFormat="1" applyFont="1" applyFill="1" applyBorder="1" applyAlignment="1" applyProtection="1">
      <alignment horizontal="center"/>
      <protection locked="0"/>
    </xf>
    <xf numFmtId="10" fontId="9" fillId="5" borderId="35" xfId="1" applyNumberFormat="1" applyFont="1" applyFill="1" applyBorder="1" applyAlignment="1" applyProtection="1">
      <alignment horizontal="center"/>
      <protection locked="0"/>
    </xf>
    <xf numFmtId="0" fontId="9" fillId="3" borderId="3" xfId="0" applyFont="1" applyFill="1" applyBorder="1" applyAlignment="1" applyProtection="1">
      <alignment horizontal="center"/>
    </xf>
    <xf numFmtId="0" fontId="9" fillId="3" borderId="46" xfId="0" applyFont="1" applyFill="1" applyBorder="1" applyAlignment="1" applyProtection="1">
      <alignment horizontal="center"/>
    </xf>
    <xf numFmtId="0" fontId="9" fillId="3" borderId="47" xfId="0" applyFont="1" applyFill="1" applyBorder="1" applyAlignment="1" applyProtection="1">
      <alignment horizontal="center"/>
    </xf>
    <xf numFmtId="0" fontId="9" fillId="10" borderId="5" xfId="0" applyFont="1" applyFill="1" applyBorder="1" applyAlignment="1" applyProtection="1">
      <alignment horizontal="center"/>
      <protection locked="0"/>
    </xf>
    <xf numFmtId="196" fontId="20" fillId="5" borderId="10" xfId="0" applyNumberFormat="1" applyFont="1" applyFill="1" applyBorder="1" applyAlignment="1" applyProtection="1">
      <alignment horizontal="center"/>
      <protection locked="0"/>
    </xf>
    <xf numFmtId="0" fontId="10" fillId="0" borderId="31" xfId="0" applyFont="1" applyBorder="1" applyAlignment="1">
      <alignment horizontal="center"/>
    </xf>
    <xf numFmtId="0" fontId="21" fillId="0" borderId="32" xfId="0" applyFont="1" applyFill="1" applyBorder="1"/>
    <xf numFmtId="0" fontId="21" fillId="0" borderId="1" xfId="0" applyFont="1" applyFill="1" applyBorder="1"/>
    <xf numFmtId="0" fontId="2" fillId="0" borderId="32" xfId="0" applyFont="1" applyFill="1" applyBorder="1" applyAlignment="1">
      <alignment horizontal="center"/>
    </xf>
    <xf numFmtId="0" fontId="21" fillId="0" borderId="32" xfId="0" applyFont="1" applyFill="1" applyBorder="1" applyAlignment="1">
      <alignment horizontal="center"/>
    </xf>
    <xf numFmtId="0" fontId="2" fillId="0" borderId="54" xfId="0" applyFont="1" applyFill="1" applyBorder="1" applyAlignment="1">
      <alignment horizontal="center"/>
    </xf>
    <xf numFmtId="0" fontId="2" fillId="0" borderId="1" xfId="0" applyFont="1" applyFill="1" applyBorder="1" applyAlignment="1">
      <alignment horizontal="center"/>
    </xf>
    <xf numFmtId="0" fontId="21" fillId="0" borderId="1" xfId="0" applyFont="1" applyFill="1" applyBorder="1" applyAlignment="1">
      <alignment horizontal="center"/>
    </xf>
    <xf numFmtId="0" fontId="2" fillId="0" borderId="2" xfId="0" applyFont="1" applyFill="1" applyBorder="1" applyAlignment="1">
      <alignment horizontal="center"/>
    </xf>
    <xf numFmtId="0" fontId="32" fillId="2" borderId="7" xfId="0" applyFont="1" applyFill="1" applyBorder="1" applyAlignment="1">
      <alignment wrapText="1"/>
    </xf>
    <xf numFmtId="197" fontId="9" fillId="5" borderId="24" xfId="1" applyNumberFormat="1" applyFont="1" applyFill="1" applyBorder="1" applyAlignment="1" applyProtection="1">
      <alignment horizontal="center"/>
      <protection locked="0"/>
    </xf>
    <xf numFmtId="10" fontId="9" fillId="5" borderId="52" xfId="1" applyNumberFormat="1" applyFont="1" applyFill="1" applyBorder="1" applyAlignment="1" applyProtection="1">
      <alignment horizontal="center"/>
      <protection locked="0"/>
    </xf>
    <xf numFmtId="0" fontId="6" fillId="4" borderId="75" xfId="0" applyFont="1" applyFill="1" applyBorder="1" applyAlignment="1">
      <alignment horizontal="center"/>
    </xf>
    <xf numFmtId="0" fontId="9" fillId="0" borderId="64" xfId="0" applyFont="1" applyBorder="1" applyAlignment="1" applyProtection="1">
      <alignment horizontal="center"/>
      <protection locked="0"/>
    </xf>
    <xf numFmtId="181" fontId="9" fillId="5" borderId="64" xfId="0" applyNumberFormat="1" applyFont="1" applyFill="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15" xfId="0" applyFont="1" applyFill="1" applyBorder="1" applyAlignment="1">
      <alignment horizontal="center"/>
    </xf>
    <xf numFmtId="10" fontId="9" fillId="5" borderId="22" xfId="1" applyNumberFormat="1" applyFont="1" applyFill="1" applyBorder="1" applyAlignment="1" applyProtection="1">
      <alignment horizontal="center"/>
      <protection locked="0"/>
    </xf>
    <xf numFmtId="0" fontId="15" fillId="2" borderId="34" xfId="0" applyFont="1" applyFill="1" applyBorder="1" applyAlignment="1">
      <alignment horizontal="center"/>
    </xf>
    <xf numFmtId="177" fontId="9" fillId="5" borderId="52" xfId="0" applyNumberFormat="1" applyFont="1" applyFill="1" applyBorder="1" applyAlignment="1" applyProtection="1">
      <alignment horizontal="center"/>
      <protection locked="0"/>
    </xf>
    <xf numFmtId="177" fontId="9" fillId="5" borderId="42" xfId="0" applyNumberFormat="1" applyFont="1" applyFill="1" applyBorder="1" applyAlignment="1" applyProtection="1">
      <alignment horizontal="center"/>
      <protection locked="0"/>
    </xf>
    <xf numFmtId="177" fontId="9" fillId="5" borderId="22" xfId="0" applyNumberFormat="1" applyFont="1" applyFill="1" applyBorder="1" applyAlignment="1" applyProtection="1">
      <alignment horizontal="center"/>
      <protection locked="0"/>
    </xf>
    <xf numFmtId="177" fontId="9" fillId="5" borderId="72" xfId="0" applyNumberFormat="1" applyFont="1" applyFill="1" applyBorder="1" applyAlignment="1" applyProtection="1">
      <alignment horizontal="center"/>
      <protection locked="0"/>
    </xf>
    <xf numFmtId="177" fontId="9" fillId="5" borderId="38" xfId="0" applyNumberFormat="1" applyFont="1" applyFill="1" applyBorder="1" applyAlignment="1" applyProtection="1">
      <alignment horizontal="center"/>
      <protection locked="0"/>
    </xf>
    <xf numFmtId="177" fontId="9" fillId="5" borderId="73" xfId="0" applyNumberFormat="1" applyFont="1" applyFill="1" applyBorder="1" applyAlignment="1" applyProtection="1">
      <alignment horizontal="center"/>
      <protection locked="0"/>
    </xf>
    <xf numFmtId="177" fontId="9" fillId="5" borderId="37" xfId="0" applyNumberFormat="1" applyFont="1" applyFill="1" applyBorder="1" applyAlignment="1" applyProtection="1">
      <alignment horizontal="center"/>
      <protection locked="0"/>
    </xf>
    <xf numFmtId="177" fontId="9" fillId="5" borderId="51" xfId="0" applyNumberFormat="1" applyFont="1" applyFill="1" applyBorder="1" applyAlignment="1" applyProtection="1">
      <alignment horizontal="center"/>
      <protection locked="0"/>
    </xf>
    <xf numFmtId="177" fontId="9" fillId="5" borderId="33" xfId="0" applyNumberFormat="1" applyFont="1" applyFill="1" applyBorder="1" applyAlignment="1" applyProtection="1">
      <alignment horizontal="center"/>
      <protection locked="0"/>
    </xf>
    <xf numFmtId="177" fontId="9" fillId="5" borderId="35" xfId="0" applyNumberFormat="1" applyFont="1" applyFill="1" applyBorder="1" applyAlignment="1" applyProtection="1">
      <alignment horizontal="center"/>
      <protection locked="0"/>
    </xf>
    <xf numFmtId="177" fontId="9" fillId="5" borderId="36" xfId="0" applyNumberFormat="1" applyFont="1" applyFill="1" applyBorder="1" applyAlignment="1" applyProtection="1">
      <alignment horizontal="center"/>
      <protection locked="0"/>
    </xf>
    <xf numFmtId="0" fontId="9" fillId="3" borderId="70" xfId="0" applyFont="1" applyFill="1" applyBorder="1" applyAlignment="1">
      <alignment horizontal="center"/>
    </xf>
    <xf numFmtId="181" fontId="9" fillId="5" borderId="70" xfId="0" applyNumberFormat="1" applyFont="1" applyFill="1" applyBorder="1" applyAlignment="1" applyProtection="1">
      <alignment horizontal="center"/>
      <protection locked="0"/>
    </xf>
    <xf numFmtId="165" fontId="9" fillId="3" borderId="55" xfId="0" applyNumberFormat="1" applyFont="1" applyFill="1" applyBorder="1" applyAlignment="1">
      <alignment horizontal="center"/>
    </xf>
    <xf numFmtId="10" fontId="9" fillId="5" borderId="68" xfId="1" applyNumberFormat="1" applyFont="1" applyFill="1" applyBorder="1" applyAlignment="1" applyProtection="1">
      <alignment horizontal="center"/>
      <protection locked="0"/>
    </xf>
    <xf numFmtId="165" fontId="9" fillId="3" borderId="69" xfId="0" applyNumberFormat="1" applyFont="1" applyFill="1" applyBorder="1" applyAlignment="1">
      <alignment horizontal="center"/>
    </xf>
    <xf numFmtId="164" fontId="1" fillId="2" borderId="30" xfId="0" applyNumberFormat="1" applyFont="1" applyFill="1" applyBorder="1" applyAlignment="1">
      <alignment horizontal="center"/>
    </xf>
    <xf numFmtId="181" fontId="1" fillId="2" borderId="30" xfId="0" applyNumberFormat="1" applyFont="1" applyFill="1" applyBorder="1" applyAlignment="1">
      <alignment horizontal="center"/>
    </xf>
    <xf numFmtId="180" fontId="1" fillId="2" borderId="30" xfId="0" applyNumberFormat="1" applyFont="1" applyFill="1" applyBorder="1" applyAlignment="1">
      <alignment horizontal="center"/>
    </xf>
    <xf numFmtId="0" fontId="1" fillId="2" borderId="30" xfId="0" applyFont="1" applyFill="1" applyBorder="1" applyAlignment="1">
      <alignment horizontal="center"/>
    </xf>
    <xf numFmtId="176" fontId="1" fillId="2" borderId="4" xfId="0" applyNumberFormat="1" applyFont="1" applyFill="1" applyBorder="1" applyAlignment="1">
      <alignment horizontal="center"/>
    </xf>
    <xf numFmtId="194" fontId="1" fillId="2" borderId="4" xfId="0" applyNumberFormat="1" applyFont="1" applyFill="1" applyBorder="1" applyAlignment="1">
      <alignment horizontal="center"/>
    </xf>
    <xf numFmtId="195" fontId="1" fillId="2" borderId="34" xfId="0" applyNumberFormat="1" applyFont="1" applyFill="1" applyBorder="1" applyAlignment="1">
      <alignment horizontal="center"/>
    </xf>
    <xf numFmtId="178" fontId="9" fillId="5" borderId="38" xfId="0" applyNumberFormat="1" applyFont="1" applyFill="1" applyBorder="1" applyAlignment="1" applyProtection="1">
      <alignment horizontal="center"/>
      <protection locked="0"/>
    </xf>
    <xf numFmtId="178" fontId="9" fillId="5" borderId="29" xfId="0" applyNumberFormat="1" applyFont="1" applyFill="1" applyBorder="1" applyAlignment="1" applyProtection="1">
      <alignment horizontal="center"/>
      <protection locked="0"/>
    </xf>
    <xf numFmtId="178" fontId="9" fillId="5" borderId="51" xfId="0" applyNumberFormat="1" applyFont="1" applyFill="1" applyBorder="1" applyAlignment="1" applyProtection="1">
      <alignment horizontal="center"/>
      <protection locked="0"/>
    </xf>
    <xf numFmtId="178" fontId="9" fillId="5" borderId="72" xfId="0" applyNumberFormat="1" applyFont="1" applyFill="1" applyBorder="1" applyAlignment="1" applyProtection="1">
      <alignment horizontal="center"/>
      <protection locked="0"/>
    </xf>
    <xf numFmtId="178" fontId="9" fillId="5" borderId="73" xfId="0" applyNumberFormat="1" applyFont="1" applyFill="1" applyBorder="1" applyAlignment="1" applyProtection="1">
      <alignment horizontal="center"/>
      <protection locked="0"/>
    </xf>
    <xf numFmtId="178" fontId="9" fillId="5" borderId="37" xfId="0" applyNumberFormat="1" applyFont="1" applyFill="1" applyBorder="1" applyAlignment="1" applyProtection="1">
      <alignment horizontal="center"/>
      <protection locked="0"/>
    </xf>
    <xf numFmtId="177" fontId="9" fillId="5" borderId="56" xfId="0" applyNumberFormat="1" applyFont="1" applyFill="1" applyBorder="1" applyAlignment="1" applyProtection="1">
      <alignment horizontal="center"/>
      <protection locked="0"/>
    </xf>
    <xf numFmtId="177" fontId="9" fillId="5" borderId="68" xfId="0" applyNumberFormat="1" applyFont="1" applyFill="1" applyBorder="1" applyAlignment="1" applyProtection="1">
      <alignment horizontal="center"/>
      <protection locked="0"/>
    </xf>
    <xf numFmtId="178" fontId="9" fillId="5" borderId="39" xfId="0" applyNumberFormat="1" applyFont="1" applyFill="1" applyBorder="1" applyAlignment="1" applyProtection="1">
      <alignment horizontal="center"/>
      <protection locked="0"/>
    </xf>
    <xf numFmtId="177" fontId="9" fillId="5" borderId="5" xfId="0" applyNumberFormat="1" applyFont="1" applyFill="1" applyBorder="1" applyAlignment="1" applyProtection="1">
      <alignment horizontal="center"/>
      <protection locked="0"/>
    </xf>
    <xf numFmtId="178" fontId="9" fillId="5" borderId="5" xfId="0" applyNumberFormat="1" applyFont="1" applyFill="1" applyBorder="1" applyAlignment="1" applyProtection="1">
      <alignment horizontal="center"/>
      <protection locked="0"/>
    </xf>
    <xf numFmtId="178" fontId="9" fillId="5" borderId="33" xfId="0" applyNumberFormat="1" applyFont="1" applyFill="1" applyBorder="1" applyAlignment="1" applyProtection="1">
      <alignment horizontal="center"/>
      <protection locked="0"/>
    </xf>
    <xf numFmtId="178" fontId="9" fillId="5" borderId="35" xfId="0" applyNumberFormat="1" applyFont="1" applyFill="1" applyBorder="1" applyAlignment="1" applyProtection="1">
      <alignment horizontal="center"/>
      <protection locked="0"/>
    </xf>
    <xf numFmtId="178" fontId="9" fillId="5" borderId="36" xfId="0" applyNumberFormat="1" applyFont="1" applyFill="1" applyBorder="1" applyAlignment="1" applyProtection="1">
      <alignment horizontal="center"/>
      <protection locked="0"/>
    </xf>
    <xf numFmtId="177" fontId="9" fillId="5" borderId="2" xfId="0" applyNumberFormat="1" applyFont="1" applyFill="1" applyBorder="1" applyAlignment="1" applyProtection="1">
      <alignment horizontal="center"/>
      <protection locked="0"/>
    </xf>
    <xf numFmtId="194" fontId="5" fillId="2" borderId="4" xfId="0" applyNumberFormat="1" applyFont="1" applyFill="1" applyBorder="1" applyAlignment="1">
      <alignment horizontal="center"/>
    </xf>
    <xf numFmtId="195" fontId="5" fillId="2" borderId="40" xfId="0" applyNumberFormat="1" applyFont="1" applyFill="1" applyBorder="1" applyAlignment="1">
      <alignment horizontal="center"/>
    </xf>
    <xf numFmtId="165" fontId="9" fillId="3" borderId="61" xfId="0" applyNumberFormat="1" applyFont="1" applyFill="1" applyBorder="1" applyAlignment="1">
      <alignment horizontal="center"/>
    </xf>
    <xf numFmtId="165" fontId="9" fillId="5" borderId="29" xfId="0" applyNumberFormat="1" applyFont="1" applyFill="1" applyBorder="1" applyAlignment="1" applyProtection="1">
      <alignment horizontal="center"/>
      <protection locked="0"/>
    </xf>
    <xf numFmtId="165" fontId="9" fillId="5" borderId="38" xfId="0" applyNumberFormat="1" applyFont="1" applyFill="1" applyBorder="1" applyAlignment="1" applyProtection="1">
      <alignment horizontal="center"/>
      <protection locked="0"/>
    </xf>
    <xf numFmtId="165" fontId="9" fillId="5" borderId="0" xfId="0" applyNumberFormat="1" applyFont="1" applyFill="1" applyBorder="1" applyAlignment="1" applyProtection="1">
      <alignment horizontal="center"/>
      <protection locked="0"/>
    </xf>
    <xf numFmtId="179" fontId="5" fillId="2" borderId="4" xfId="0" applyNumberFormat="1" applyFont="1" applyFill="1" applyBorder="1" applyAlignment="1">
      <alignment horizontal="center"/>
    </xf>
    <xf numFmtId="178" fontId="9" fillId="5" borderId="2" xfId="0" applyNumberFormat="1" applyFont="1" applyFill="1" applyBorder="1" applyAlignment="1" applyProtection="1">
      <alignment horizontal="center"/>
      <protection locked="0"/>
    </xf>
    <xf numFmtId="177" fontId="9" fillId="5" borderId="64" xfId="0" applyNumberFormat="1" applyFont="1" applyFill="1" applyBorder="1" applyAlignment="1" applyProtection="1">
      <alignment horizontal="center"/>
      <protection locked="0"/>
    </xf>
    <xf numFmtId="177" fontId="9" fillId="5" borderId="53" xfId="0" applyNumberFormat="1" applyFont="1" applyFill="1" applyBorder="1" applyAlignment="1" applyProtection="1">
      <alignment horizontal="center"/>
      <protection locked="0"/>
    </xf>
    <xf numFmtId="166" fontId="5" fillId="2" borderId="53" xfId="0" applyNumberFormat="1" applyFont="1" applyFill="1" applyBorder="1" applyAlignment="1">
      <alignment horizontal="center"/>
    </xf>
    <xf numFmtId="179" fontId="5" fillId="2" borderId="53" xfId="0" applyNumberFormat="1" applyFont="1" applyFill="1" applyBorder="1" applyAlignment="1">
      <alignment horizontal="center"/>
    </xf>
    <xf numFmtId="178" fontId="9" fillId="5" borderId="64" xfId="0" applyNumberFormat="1" applyFont="1" applyFill="1" applyBorder="1" applyAlignment="1" applyProtection="1">
      <alignment horizontal="center"/>
      <protection locked="0"/>
    </xf>
    <xf numFmtId="178" fontId="9" fillId="5" borderId="53" xfId="0" applyNumberFormat="1" applyFont="1" applyFill="1" applyBorder="1" applyAlignment="1" applyProtection="1">
      <alignment horizontal="center"/>
      <protection locked="0"/>
    </xf>
    <xf numFmtId="166" fontId="9" fillId="3" borderId="64" xfId="0" applyNumberFormat="1" applyFont="1" applyFill="1" applyBorder="1" applyAlignment="1" applyProtection="1">
      <alignment horizontal="center"/>
    </xf>
    <xf numFmtId="166" fontId="9" fillId="3" borderId="1" xfId="0" applyNumberFormat="1" applyFont="1" applyFill="1" applyBorder="1" applyAlignment="1" applyProtection="1">
      <alignment horizontal="center"/>
    </xf>
    <xf numFmtId="166" fontId="9" fillId="3" borderId="24" xfId="0" applyNumberFormat="1" applyFont="1" applyFill="1" applyBorder="1" applyAlignment="1" applyProtection="1">
      <alignment horizontal="center"/>
    </xf>
    <xf numFmtId="0" fontId="12" fillId="3" borderId="6" xfId="0" applyFont="1" applyFill="1" applyBorder="1" applyAlignment="1" applyProtection="1">
      <alignment horizontal="center"/>
    </xf>
    <xf numFmtId="166" fontId="5" fillId="2" borderId="4" xfId="0" applyNumberFormat="1" applyFont="1" applyFill="1" applyBorder="1" applyAlignment="1" applyProtection="1">
      <alignment horizontal="center"/>
    </xf>
    <xf numFmtId="0" fontId="0" fillId="0" borderId="0" xfId="0" applyProtection="1"/>
    <xf numFmtId="0" fontId="12" fillId="3" borderId="23" xfId="0" applyFont="1" applyFill="1" applyBorder="1" applyAlignment="1" applyProtection="1">
      <alignment horizontal="center"/>
    </xf>
    <xf numFmtId="166" fontId="9" fillId="3" borderId="53" xfId="0" applyNumberFormat="1" applyFont="1" applyFill="1" applyBorder="1" applyAlignment="1" applyProtection="1">
      <alignment horizontal="center"/>
    </xf>
    <xf numFmtId="0" fontId="12" fillId="3" borderId="6" xfId="0" applyFont="1" applyFill="1" applyBorder="1" applyAlignment="1" applyProtection="1">
      <alignment horizontal="center" vertical="center" wrapText="1"/>
    </xf>
    <xf numFmtId="0" fontId="12" fillId="3" borderId="47" xfId="0" applyFont="1" applyFill="1" applyBorder="1" applyAlignment="1" applyProtection="1">
      <alignment horizontal="center"/>
    </xf>
    <xf numFmtId="179" fontId="9" fillId="3" borderId="65" xfId="0" applyNumberFormat="1" applyFont="1" applyFill="1" applyBorder="1" applyAlignment="1" applyProtection="1">
      <alignment horizontal="center"/>
    </xf>
    <xf numFmtId="179" fontId="9" fillId="3" borderId="1" xfId="0" applyNumberFormat="1" applyFont="1" applyFill="1" applyBorder="1" applyAlignment="1" applyProtection="1">
      <alignment horizontal="center"/>
    </xf>
    <xf numFmtId="179" fontId="9" fillId="3" borderId="62" xfId="0" applyNumberFormat="1" applyFont="1" applyFill="1" applyBorder="1" applyAlignment="1" applyProtection="1">
      <alignment horizontal="center"/>
    </xf>
    <xf numFmtId="179" fontId="5" fillId="2" borderId="4" xfId="0" applyNumberFormat="1" applyFont="1" applyFill="1" applyBorder="1" applyAlignment="1" applyProtection="1">
      <alignment horizontal="center"/>
    </xf>
    <xf numFmtId="179" fontId="9" fillId="3" borderId="48" xfId="0" applyNumberFormat="1" applyFont="1" applyFill="1" applyBorder="1" applyAlignment="1" applyProtection="1">
      <alignment horizontal="center"/>
    </xf>
    <xf numFmtId="0" fontId="12" fillId="3" borderId="47" xfId="0" applyFont="1" applyFill="1" applyBorder="1" applyAlignment="1" applyProtection="1">
      <alignment horizontal="center" vertical="center" wrapText="1"/>
    </xf>
    <xf numFmtId="166" fontId="9" fillId="3" borderId="61" xfId="0" applyNumberFormat="1" applyFont="1" applyFill="1" applyBorder="1" applyAlignment="1" applyProtection="1">
      <alignment horizontal="center"/>
    </xf>
    <xf numFmtId="166" fontId="9" fillId="3" borderId="35" xfId="0" applyNumberFormat="1" applyFont="1" applyFill="1" applyBorder="1" applyAlignment="1" applyProtection="1">
      <alignment horizontal="center"/>
    </xf>
    <xf numFmtId="166" fontId="9" fillId="3" borderId="27" xfId="0" applyNumberFormat="1" applyFont="1" applyFill="1" applyBorder="1" applyAlignment="1" applyProtection="1">
      <alignment horizontal="center"/>
    </xf>
    <xf numFmtId="179" fontId="9" fillId="3" borderId="61" xfId="0" applyNumberFormat="1" applyFont="1" applyFill="1" applyBorder="1" applyAlignment="1" applyProtection="1">
      <alignment horizontal="center"/>
    </xf>
    <xf numFmtId="179" fontId="9" fillId="3" borderId="35" xfId="0" applyNumberFormat="1" applyFont="1" applyFill="1" applyBorder="1" applyAlignment="1" applyProtection="1">
      <alignment horizontal="center"/>
    </xf>
    <xf numFmtId="179" fontId="9" fillId="3" borderId="27" xfId="0" applyNumberFormat="1" applyFont="1" applyFill="1" applyBorder="1" applyAlignment="1" applyProtection="1">
      <alignment horizontal="center"/>
    </xf>
    <xf numFmtId="179" fontId="5" fillId="2" borderId="34" xfId="0" applyNumberFormat="1" applyFont="1" applyFill="1" applyBorder="1" applyAlignment="1" applyProtection="1">
      <alignment horizontal="center"/>
    </xf>
    <xf numFmtId="0" fontId="15" fillId="2" borderId="40" xfId="0" applyFont="1" applyFill="1" applyBorder="1" applyAlignment="1" applyProtection="1">
      <alignment horizontal="center"/>
    </xf>
    <xf numFmtId="166" fontId="9" fillId="3" borderId="76" xfId="0" applyNumberFormat="1" applyFont="1" applyFill="1" applyBorder="1" applyAlignment="1" applyProtection="1">
      <alignment horizontal="center"/>
    </xf>
    <xf numFmtId="166" fontId="9" fillId="3" borderId="33" xfId="0" applyNumberFormat="1" applyFont="1" applyFill="1" applyBorder="1" applyAlignment="1" applyProtection="1">
      <alignment horizontal="center"/>
    </xf>
    <xf numFmtId="166" fontId="9" fillId="3" borderId="69" xfId="0" applyNumberFormat="1" applyFont="1" applyFill="1" applyBorder="1" applyAlignment="1" applyProtection="1">
      <alignment horizontal="center"/>
    </xf>
    <xf numFmtId="166" fontId="9" fillId="3" borderId="36" xfId="0" applyNumberFormat="1" applyFont="1" applyFill="1" applyBorder="1" applyAlignment="1" applyProtection="1">
      <alignment horizontal="center"/>
    </xf>
    <xf numFmtId="166" fontId="1" fillId="2" borderId="6" xfId="0" applyNumberFormat="1" applyFont="1" applyFill="1" applyBorder="1" applyAlignment="1" applyProtection="1">
      <alignment horizontal="center"/>
    </xf>
    <xf numFmtId="0" fontId="15" fillId="2" borderId="77" xfId="0" applyFont="1" applyFill="1" applyBorder="1" applyAlignment="1" applyProtection="1">
      <alignment horizontal="center"/>
    </xf>
    <xf numFmtId="179" fontId="33" fillId="3" borderId="33" xfId="0" applyNumberFormat="1" applyFont="1" applyFill="1" applyBorder="1" applyAlignment="1" applyProtection="1">
      <alignment horizontal="center"/>
    </xf>
    <xf numFmtId="179" fontId="33" fillId="3" borderId="35" xfId="0" applyNumberFormat="1" applyFont="1" applyFill="1" applyBorder="1" applyAlignment="1" applyProtection="1">
      <alignment horizontal="center"/>
    </xf>
    <xf numFmtId="179" fontId="33" fillId="3" borderId="69" xfId="0" applyNumberFormat="1" applyFont="1" applyFill="1" applyBorder="1" applyAlignment="1" applyProtection="1">
      <alignment horizontal="center"/>
    </xf>
    <xf numFmtId="179" fontId="33" fillId="3" borderId="36" xfId="0" applyNumberFormat="1" applyFont="1" applyFill="1" applyBorder="1" applyAlignment="1" applyProtection="1">
      <alignment horizontal="center"/>
    </xf>
    <xf numFmtId="179" fontId="1" fillId="2" borderId="27" xfId="0" applyNumberFormat="1" applyFont="1" applyFill="1" applyBorder="1" applyAlignment="1" applyProtection="1">
      <alignment horizontal="center"/>
    </xf>
    <xf numFmtId="0" fontId="31" fillId="0" borderId="52" xfId="0" applyFont="1" applyBorder="1" applyAlignment="1">
      <alignment horizontal="center" vertical="center"/>
    </xf>
    <xf numFmtId="0" fontId="30" fillId="0" borderId="29" xfId="0" applyFont="1" applyBorder="1" applyAlignment="1">
      <alignment horizontal="center" vertical="center"/>
    </xf>
    <xf numFmtId="0" fontId="30" fillId="0" borderId="28" xfId="0" applyFont="1" applyBorder="1" applyAlignment="1">
      <alignment horizontal="center" vertical="center"/>
    </xf>
    <xf numFmtId="0" fontId="30" fillId="0" borderId="55" xfId="0" applyFont="1" applyBorder="1" applyAlignment="1">
      <alignment horizontal="center" vertical="center"/>
    </xf>
    <xf numFmtId="0" fontId="30" fillId="0" borderId="0" xfId="0" applyFont="1" applyBorder="1" applyAlignment="1">
      <alignment horizontal="center" vertical="center"/>
    </xf>
    <xf numFmtId="0" fontId="30" fillId="0" borderId="60" xfId="0" applyFont="1" applyBorder="1" applyAlignment="1">
      <alignment horizontal="center" vertical="center"/>
    </xf>
    <xf numFmtId="0" fontId="30" fillId="0" borderId="22" xfId="0" applyFont="1" applyBorder="1" applyAlignment="1">
      <alignment horizontal="center" vertical="center"/>
    </xf>
    <xf numFmtId="0" fontId="30" fillId="0" borderId="51" xfId="0" applyFont="1" applyBorder="1" applyAlignment="1">
      <alignment horizontal="center" vertical="center"/>
    </xf>
    <xf numFmtId="0" fontId="30" fillId="0" borderId="49" xfId="0" applyFont="1" applyBorder="1" applyAlignment="1">
      <alignment horizontal="center" vertical="center"/>
    </xf>
    <xf numFmtId="0" fontId="4" fillId="0" borderId="0" xfId="0" applyFont="1"/>
    <xf numFmtId="0" fontId="0" fillId="0" borderId="0" xfId="0"/>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6" borderId="19" xfId="0" applyFont="1" applyFill="1" applyBorder="1" applyAlignment="1">
      <alignment horizontal="center"/>
    </xf>
    <xf numFmtId="0" fontId="5" fillId="6" borderId="20" xfId="0" applyFont="1" applyFill="1" applyBorder="1" applyAlignment="1">
      <alignment horizontal="center"/>
    </xf>
    <xf numFmtId="0" fontId="5" fillId="6" borderId="21" xfId="0" applyFont="1" applyFill="1" applyBorder="1" applyAlignment="1">
      <alignment horizontal="center"/>
    </xf>
    <xf numFmtId="0" fontId="3" fillId="0" borderId="19" xfId="0" applyFont="1"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3" fillId="0" borderId="19" xfId="0" applyNumberFormat="1" applyFont="1" applyBorder="1" applyAlignment="1">
      <alignment horizontal="center"/>
    </xf>
    <xf numFmtId="0" fontId="3" fillId="0" borderId="20" xfId="0" applyNumberFormat="1" applyFont="1" applyBorder="1" applyAlignment="1">
      <alignment horizontal="center"/>
    </xf>
    <xf numFmtId="0" fontId="3" fillId="0" borderId="21" xfId="0" applyNumberFormat="1" applyFont="1" applyBorder="1" applyAlignment="1">
      <alignment horizontal="center"/>
    </xf>
    <xf numFmtId="0" fontId="29" fillId="0" borderId="0" xfId="2" applyAlignment="1" applyProtection="1">
      <alignment horizontal="left"/>
      <protection locked="0"/>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1" fillId="9" borderId="19" xfId="0" applyFont="1" applyFill="1" applyBorder="1" applyAlignment="1">
      <alignment horizontal="center"/>
    </xf>
    <xf numFmtId="0" fontId="1" fillId="9" borderId="20" xfId="0" applyFont="1" applyFill="1" applyBorder="1" applyAlignment="1">
      <alignment horizontal="center"/>
    </xf>
    <xf numFmtId="0" fontId="1" fillId="9" borderId="21" xfId="0" applyFont="1" applyFill="1" applyBorder="1" applyAlignment="1">
      <alignment horizontal="center"/>
    </xf>
    <xf numFmtId="0" fontId="1" fillId="8" borderId="19" xfId="0" applyFont="1" applyFill="1" applyBorder="1" applyAlignment="1">
      <alignment horizontal="center"/>
    </xf>
    <xf numFmtId="0" fontId="1" fillId="8" borderId="21" xfId="0" applyFont="1" applyFill="1" applyBorder="1" applyAlignment="1">
      <alignment horizontal="center"/>
    </xf>
    <xf numFmtId="0" fontId="1" fillId="8" borderId="20" xfId="0" applyFont="1" applyFill="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166" fontId="5" fillId="3" borderId="42" xfId="0" applyNumberFormat="1" applyFont="1" applyFill="1" applyBorder="1" applyAlignment="1">
      <alignment horizontal="center"/>
    </xf>
    <xf numFmtId="166" fontId="5" fillId="3" borderId="43" xfId="0" applyNumberFormat="1" applyFont="1" applyFill="1" applyBorder="1" applyAlignment="1">
      <alignment horizontal="center"/>
    </xf>
    <xf numFmtId="0" fontId="8" fillId="0" borderId="56" xfId="0" applyFont="1" applyBorder="1" applyAlignment="1">
      <alignment horizontal="center"/>
    </xf>
    <xf numFmtId="0" fontId="8" fillId="0" borderId="57" xfId="0" applyFont="1" applyBorder="1" applyAlignment="1">
      <alignment horizontal="center"/>
    </xf>
    <xf numFmtId="176" fontId="5" fillId="3" borderId="42" xfId="0" applyNumberFormat="1" applyFont="1" applyFill="1" applyBorder="1" applyAlignment="1">
      <alignment horizontal="center"/>
    </xf>
    <xf numFmtId="176" fontId="5" fillId="3" borderId="43" xfId="0" applyNumberFormat="1" applyFont="1" applyFill="1" applyBorder="1" applyAlignment="1">
      <alignment horizontal="center"/>
    </xf>
    <xf numFmtId="179" fontId="5" fillId="3" borderId="58" xfId="0" applyNumberFormat="1" applyFont="1" applyFill="1" applyBorder="1" applyAlignment="1">
      <alignment horizontal="center"/>
    </xf>
    <xf numFmtId="179" fontId="5" fillId="3" borderId="59" xfId="0" applyNumberFormat="1"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9" xfId="0" applyFont="1" applyBorder="1" applyAlignment="1">
      <alignment horizontal="center"/>
    </xf>
    <xf numFmtId="0" fontId="4" fillId="0" borderId="10" xfId="0" applyFont="1" applyBorder="1" applyAlignment="1">
      <alignment horizontal="center"/>
    </xf>
    <xf numFmtId="0" fontId="5" fillId="2" borderId="19" xfId="0" applyFont="1" applyFill="1" applyBorder="1" applyAlignment="1">
      <alignment horizontal="center"/>
    </xf>
    <xf numFmtId="0" fontId="0" fillId="2" borderId="20" xfId="0"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19" xfId="0" applyFont="1" applyFill="1" applyBorder="1" applyAlignment="1" applyProtection="1">
      <alignment horizontal="center"/>
      <protection locked="0"/>
    </xf>
    <xf numFmtId="0" fontId="5" fillId="2" borderId="20"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5" fillId="0" borderId="20" xfId="0" applyFont="1" applyBorder="1" applyAlignment="1">
      <alignment horizontal="center"/>
    </xf>
    <xf numFmtId="0" fontId="5" fillId="0" borderId="21" xfId="0" applyFont="1" applyBorder="1" applyAlignment="1">
      <alignment horizontal="center"/>
    </xf>
    <xf numFmtId="0" fontId="1" fillId="3" borderId="19" xfId="0" applyFont="1" applyFill="1" applyBorder="1" applyAlignment="1">
      <alignment horizontal="center"/>
    </xf>
    <xf numFmtId="0" fontId="1" fillId="3" borderId="20" xfId="0" applyFont="1" applyFill="1" applyBorder="1" applyAlignment="1">
      <alignment horizontal="center"/>
    </xf>
    <xf numFmtId="0" fontId="1" fillId="3" borderId="21"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15" fillId="7" borderId="52" xfId="0" applyFont="1" applyFill="1" applyBorder="1" applyAlignment="1">
      <alignment horizontal="center"/>
    </xf>
    <xf numFmtId="0" fontId="15" fillId="7" borderId="29" xfId="0" applyFont="1" applyFill="1" applyBorder="1" applyAlignment="1">
      <alignment horizontal="center"/>
    </xf>
    <xf numFmtId="0" fontId="15" fillId="7" borderId="28" xfId="0" applyFont="1" applyFill="1" applyBorder="1" applyAlignment="1">
      <alignment horizontal="center"/>
    </xf>
  </cellXfs>
  <cellStyles count="3">
    <cellStyle name="Lien hypertexte" xfId="2" builtinId="8"/>
    <cellStyle name="Normal" xfId="0" builtinId="0"/>
    <cellStyle name="Pourcentage" xfId="1" builtinId="5"/>
  </cellStyles>
  <dxfs count="154">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scheme val="minor"/>
      </font>
      <fill>
        <patternFill patternType="solid">
          <fgColor indexed="64"/>
          <bgColor theme="0" tint="-0.34998626667073579"/>
        </patternFill>
      </fill>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left/>
        <right style="thin">
          <color auto="1"/>
        </right>
        <top style="thin">
          <color auto="1"/>
        </top>
        <bottom style="thin">
          <color auto="1"/>
        </bottom>
      </border>
    </dxf>
    <dxf>
      <font>
        <strike val="0"/>
        <outline val="0"/>
        <shadow val="0"/>
        <u val="none"/>
        <vertAlign val="baseline"/>
        <sz val="12"/>
        <color theme="1"/>
        <name val="Calibri"/>
        <scheme val="minor"/>
      </font>
      <fill>
        <patternFill patternType="solid">
          <fgColor indexed="64"/>
          <bgColor theme="0" tint="-0.34998626667073579"/>
        </patternFill>
      </fill>
      <border diagonalUp="0" diagonalDown="0" outline="0">
        <left/>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dxf>
    <dxf>
      <border>
        <bottom style="thin">
          <color auto="1"/>
        </bottom>
      </border>
    </dxf>
    <dxf>
      <font>
        <strike val="0"/>
        <outline val="0"/>
        <shadow val="0"/>
        <u val="none"/>
        <vertAlign val="baseline"/>
        <sz val="14"/>
        <color auto="1"/>
        <name val="Calibri"/>
        <scheme val="minor"/>
      </font>
      <border diagonalUp="0" diagonalDown="0" outline="0">
        <left style="thin">
          <color auto="1"/>
        </left>
        <right style="thin">
          <color auto="1"/>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family val="2"/>
        <scheme val="minor"/>
      </font>
      <fill>
        <patternFill patternType="solid">
          <fgColor indexed="64"/>
          <bgColor theme="0" tint="-0.34998626667073579"/>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0" formatCode="General"/>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175" formatCode="#,##0.00\ &quot;€&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249977111117893"/>
        </patternFill>
      </fill>
      <border diagonalUp="0" diagonalDown="0">
        <left/>
        <right style="thin">
          <color auto="1"/>
        </right>
        <top style="thin">
          <color auto="1"/>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4" formatCode="#0.00\ &quot;€/T&quot;"/>
    </dxf>
    <dxf>
      <numFmt numFmtId="178" formatCode="#0.00\ &quot;Kg de DVE/T de MS&quot;"/>
    </dxf>
    <dxf>
      <numFmt numFmtId="177" formatCode="#0.00\ &quot;VEM/T de MS&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5" formatCode="#,##0.00\ &quot;€&quot;"/>
      <protection locked="1" hidden="0"/>
    </dxf>
    <dxf>
      <numFmt numFmtId="174" formatCode="#0.00\ &quot;€/T&quot;"/>
    </dxf>
    <dxf>
      <font>
        <b val="0"/>
        <i val="0"/>
        <strike val="0"/>
        <condense val="0"/>
        <extend val="0"/>
        <outline val="0"/>
        <shadow val="0"/>
        <u val="none"/>
        <vertAlign val="baseline"/>
        <sz val="14"/>
        <color theme="1"/>
        <name val="Calibri"/>
        <family val="2"/>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vertical/>
        <horizont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family val="2"/>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vertical/>
        <horizont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1"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family val="2"/>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4" formatCode="#0.00\ &quot;€/T&quot;"/>
      <protection locked="1" hidden="0"/>
    </dxf>
    <dxf>
      <numFmt numFmtId="174" formatCode="#0.00\ &quot;€/T&quot;"/>
    </dxf>
    <dxf>
      <font>
        <b val="0"/>
        <i val="0"/>
        <strike val="0"/>
        <condense val="0"/>
        <extend val="0"/>
        <outline val="0"/>
        <shadow val="0"/>
        <u val="none"/>
        <vertAlign val="baseline"/>
        <sz val="14"/>
        <color theme="1"/>
        <name val="Calibri"/>
        <family val="2"/>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vertical/>
        <horizont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5" formatCode="#,##0.00\ &quot;€&quot;"/>
      <protection locked="1" hidden="0"/>
    </dxf>
    <dxf>
      <numFmt numFmtId="174" formatCode="#0.00\ &quot;€/T&quot;"/>
    </dxf>
    <dxf>
      <font>
        <b val="0"/>
        <i val="0"/>
        <strike val="0"/>
        <condense val="0"/>
        <extend val="0"/>
        <outline val="0"/>
        <shadow val="0"/>
        <u val="none"/>
        <vertAlign val="baseline"/>
        <sz val="14"/>
        <color theme="1"/>
        <name val="Calibri"/>
        <family val="2"/>
        <scheme val="minor"/>
      </font>
      <numFmt numFmtId="179" formatCode="#0.00\ &quot;Kg de DVE&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vertical/>
        <horizont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solid">
          <fgColor indexed="64"/>
          <bgColor theme="0" tint="-0.249977111117893"/>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ill>
        <patternFill patternType="solid">
          <fgColor indexed="64"/>
          <bgColor theme="0" tint="-0.249977111117893"/>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14"/>
        <color theme="1"/>
        <name val="Calibri"/>
        <scheme val="minor"/>
      </font>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border diagonalUp="0" diagonalDown="0">
        <left/>
        <right style="medium">
          <color indexed="64"/>
        </right>
        <top style="thin">
          <color auto="1"/>
        </top>
        <bottom style="medium">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border diagonalUp="0" diagonalDown="0">
        <left/>
        <right style="medium">
          <color indexed="64"/>
        </right>
        <top style="thin">
          <color auto="1"/>
        </top>
        <bottom style="medium">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4"/>
        <color auto="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34998626667073579"/>
        </patternFill>
      </fill>
      <border diagonalUp="0" diagonalDown="0">
        <left/>
        <right style="thin">
          <color auto="1"/>
        </right>
        <top style="thin">
          <color auto="1"/>
        </top>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4"/>
        <color theme="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178" formatCode="#0.00\ &quot;Kg de DVE/T de MS&quot;"/>
      <border diagonalUp="0" diagonalDown="0">
        <left style="medium">
          <color indexed="64"/>
        </left>
        <right style="medium">
          <color indexed="64"/>
        </right>
        <vertical/>
      </border>
      <protection locked="1" hidden="0"/>
    </dxf>
    <dxf>
      <numFmt numFmtId="178" formatCode="#0.00\ &quot;Kg de DVE/T de MS&quot;"/>
    </dxf>
    <dxf>
      <font>
        <b val="0"/>
        <i val="0"/>
        <strike val="0"/>
        <condense val="0"/>
        <extend val="0"/>
        <outline val="0"/>
        <shadow val="0"/>
        <u val="none"/>
        <vertAlign val="baseline"/>
        <sz val="14"/>
        <color theme="1"/>
        <name val="Calibri"/>
        <family val="2"/>
        <scheme val="minor"/>
      </font>
      <numFmt numFmtId="177" formatCode="#0.00\ &quot;VEM/T de MS&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numFmt numFmtId="177" formatCode="#0.00\ &quot;VEM/T de MS&quot;"/>
    </dxf>
    <dxf>
      <numFmt numFmtId="165" formatCode="#0.00\ &quot;T&quot;"/>
    </dxf>
    <dxf>
      <border diagonalUp="0" diagonalDown="0">
        <left style="medium">
          <color indexed="64"/>
        </left>
        <right style="medium">
          <color indexed="64"/>
        </right>
        <vertic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20"/>
        <color auto="1"/>
        <name val="Calibri"/>
        <scheme val="minor"/>
      </font>
      <fill>
        <patternFill patternType="solid">
          <fgColor indexed="64"/>
          <bgColor theme="0" tint="-0.34998626667073579"/>
        </patternFill>
      </fill>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4"/>
        <name val="Calibri"/>
        <scheme val="minor"/>
      </font>
      <numFmt numFmtId="165" formatCode="#0.00\ &quot;T&quot;"/>
      <fill>
        <patternFill patternType="solid">
          <fgColor indexed="64"/>
          <bgColor rgb="FF92D050"/>
        </patternFill>
      </fill>
      <alignment horizontal="center" vertical="bottom" textRotation="0" wrapText="0" indent="0" justifyLastLine="0" shrinkToFit="0" readingOrder="0"/>
      <border diagonalUp="0" diagonalDown="0" outline="0">
        <left style="thin">
          <color auto="1"/>
        </left>
        <right style="medium">
          <color indexed="64"/>
        </right>
        <top style="thin">
          <color auto="1"/>
        </top>
        <bottom style="thin">
          <color auto="1"/>
        </bottom>
      </border>
    </dxf>
    <dxf>
      <font>
        <strike val="0"/>
        <outline val="0"/>
        <shadow val="0"/>
        <u val="none"/>
        <vertAlign val="baseline"/>
        <sz val="14"/>
        <name val="Calibri"/>
        <scheme val="minor"/>
      </font>
      <fill>
        <patternFill patternType="solid">
          <fgColor indexed="64"/>
          <bgColor rgb="FF0070C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scheme val="minor"/>
      </font>
      <numFmt numFmtId="165" formatCode="#0.00\ &quot;T&quot;"/>
      <fill>
        <patternFill patternType="solid">
          <fgColor indexed="64"/>
          <bgColor rgb="FF92D05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scheme val="minor"/>
      </font>
      <fill>
        <patternFill patternType="solid">
          <fgColor indexed="64"/>
          <bgColor rgb="FF0070C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4"/>
        <name val="Calibri"/>
        <scheme val="minor"/>
      </font>
      <fill>
        <patternFill patternType="solid">
          <fgColor indexed="64"/>
          <bgColor theme="0" tint="-0.249977111117893"/>
        </patternFill>
      </fill>
      <border diagonalUp="0" diagonalDown="0" outline="0">
        <left style="medium">
          <color indexed="64"/>
        </left>
        <right style="thin">
          <color auto="1"/>
        </right>
        <top style="thin">
          <color auto="1"/>
        </top>
        <bottom style="thin">
          <color auto="1"/>
        </bottom>
      </border>
    </dxf>
    <dxf>
      <font>
        <strike val="0"/>
        <outline val="0"/>
        <shadow val="0"/>
        <u val="none"/>
        <vertAlign val="baseline"/>
        <sz val="14"/>
        <name val="Calibri"/>
        <scheme val="minor"/>
      </font>
    </dxf>
    <dxf>
      <font>
        <b/>
        <i val="0"/>
        <strike val="0"/>
        <condense val="0"/>
        <extend val="0"/>
        <outline val="0"/>
        <shadow val="0"/>
        <u val="none"/>
        <vertAlign val="baseline"/>
        <sz val="12"/>
        <color auto="1"/>
        <name val="Calibri"/>
        <scheme val="minor"/>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strike val="0"/>
        <outline val="0"/>
        <shadow val="0"/>
        <u val="none"/>
        <vertAlign val="baseline"/>
        <sz val="16"/>
        <color auto="1"/>
        <name val="Calibri"/>
        <scheme val="minor"/>
      </font>
      <fill>
        <patternFill patternType="solid">
          <fgColor indexed="64"/>
          <bgColor rgb="FFFFFF00"/>
        </patternFill>
      </fill>
    </dxf>
    <dxf>
      <font>
        <b val="0"/>
        <i val="0"/>
        <strike val="0"/>
        <condense val="0"/>
        <extend val="0"/>
        <outline val="0"/>
        <shadow val="0"/>
        <u val="none"/>
        <vertAlign val="baseline"/>
        <sz val="14"/>
        <color theme="1"/>
        <name val="Calibri"/>
        <scheme val="minor"/>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protection locked="1" hidden="0"/>
    </dxf>
    <dxf>
      <font>
        <b val="0"/>
        <i val="0"/>
        <strike val="0"/>
        <condense val="0"/>
        <extend val="0"/>
        <outline val="0"/>
        <shadow val="0"/>
        <u val="none"/>
        <vertAlign val="baseline"/>
        <sz val="14"/>
        <color theme="1"/>
        <name val="Calibri"/>
        <scheme val="minor"/>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style="medium">
          <color indexed="64"/>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family val="2"/>
        <scheme val="minor"/>
      </font>
      <numFmt numFmtId="166" formatCode="#0.00\ &quot;VEM&quot;"/>
      <fill>
        <patternFill patternType="solid">
          <fgColor indexed="64"/>
          <bgColor rgb="FF92D050"/>
        </patternFill>
      </fill>
      <alignment horizontal="center" vertical="bottom" textRotation="0" wrapText="0" indent="0" justifyLastLine="0" shrinkToFit="0" readingOrder="0"/>
      <border diagonalUp="0" diagonalDown="0">
        <left/>
        <right/>
        <top style="thin">
          <color auto="1"/>
        </top>
        <bottom style="thin">
          <color auto="1"/>
        </bottom>
        <vertical/>
        <horizontal/>
      </border>
      <protection locked="1" hidden="0"/>
    </dxf>
    <dxf>
      <font>
        <b val="0"/>
        <i val="0"/>
        <strike val="0"/>
        <condense val="0"/>
        <extend val="0"/>
        <outline val="0"/>
        <shadow val="0"/>
        <u val="none"/>
        <vertAlign val="baseline"/>
        <sz val="14"/>
        <color theme="1"/>
        <name val="Calibri"/>
        <scheme val="minor"/>
      </font>
      <numFmt numFmtId="2" formatCode="0.00"/>
      <fill>
        <patternFill patternType="solid">
          <fgColor indexed="64"/>
          <bgColor rgb="FF92D050"/>
        </patternFill>
      </fill>
      <alignment horizontal="center" vertical="bottom" textRotation="0" wrapText="0" indent="0" justifyLastLine="0" shrinkToFit="0" readingOrder="0"/>
      <border diagonalUp="0" diagonalDown="0">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vertical/>
        <horizontal/>
      </border>
    </dxf>
    <dxf>
      <font>
        <b val="0"/>
        <i val="0"/>
        <strike val="0"/>
        <condense val="0"/>
        <extend val="0"/>
        <outline val="0"/>
        <shadow val="0"/>
        <u val="none"/>
        <vertAlign val="baseline"/>
        <sz val="14"/>
        <color theme="1"/>
        <name val="Calibri"/>
        <scheme val="minor"/>
      </font>
      <numFmt numFmtId="14" formatCode="0.00%"/>
      <fill>
        <patternFill patternType="solid">
          <fgColor indexed="64"/>
          <bgColor rgb="FF92D050"/>
        </patternFill>
      </fill>
      <alignment horizontal="center" vertical="bottom" textRotation="0" wrapText="0" indent="0" justifyLastLine="0" shrinkToFit="0" readingOrder="0"/>
      <border diagonalUp="0" diagonalDown="0">
        <left/>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numFmt numFmtId="2" formatCode="0.00"/>
      <fill>
        <patternFill patternType="solid">
          <fgColor indexed="64"/>
          <bgColor theme="0" tint="-0.34998626667073579"/>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vertical/>
        <horizontal/>
      </border>
    </dxf>
    <dxf>
      <font>
        <b val="0"/>
        <i val="0"/>
        <strike val="0"/>
        <condense val="0"/>
        <extend val="0"/>
        <outline val="0"/>
        <shadow val="0"/>
        <u val="none"/>
        <vertAlign val="baseline"/>
        <sz val="14"/>
        <color theme="1"/>
        <name val="Calibri"/>
        <scheme val="minor"/>
      </font>
      <numFmt numFmtId="181" formatCode="#0.00\ &quot;T/Ha&quo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rgb="FF92D050"/>
        </patternFill>
      </fill>
      <alignment horizontal="center" vertical="bottom" textRotation="0" wrapText="0" indent="0" justifyLastLine="0" shrinkToFit="0" readingOrder="0"/>
      <border diagonalUp="0" diagonalDown="0">
        <left style="thin">
          <color auto="1"/>
        </left>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font>
        <b val="0"/>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medium">
          <color indexed="64"/>
        </bottom>
        <vertical/>
        <horizontal/>
      </border>
    </dxf>
    <dxf>
      <border outline="0">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6"/>
        <color auto="1"/>
        <name val="Calibri"/>
        <scheme val="minor"/>
      </font>
      <fill>
        <patternFill patternType="solid">
          <fgColor indexed="64"/>
          <bgColor rgb="FFFFFF00"/>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164523</xdr:colOff>
      <xdr:row>5</xdr:row>
      <xdr:rowOff>134327</xdr:rowOff>
    </xdr:from>
    <xdr:to>
      <xdr:col>10</xdr:col>
      <xdr:colOff>755196</xdr:colOff>
      <xdr:row>32</xdr:row>
      <xdr:rowOff>76575</xdr:rowOff>
    </xdr:to>
    <xdr:pic>
      <xdr:nvPicPr>
        <xdr:cNvPr id="3" name="Image 2">
          <a:extLst>
            <a:ext uri="{FF2B5EF4-FFF2-40B4-BE49-F238E27FC236}">
              <a16:creationId xmlns:a16="http://schemas.microsoft.com/office/drawing/2014/main" id="{11B6BB41-217F-45D6-A0ED-D9BEBE1A0C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4123" y="1112227"/>
          <a:ext cx="5924673" cy="4914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31750</xdr:rowOff>
    </xdr:from>
    <xdr:to>
      <xdr:col>10</xdr:col>
      <xdr:colOff>248478</xdr:colOff>
      <xdr:row>57</xdr:row>
      <xdr:rowOff>171174</xdr:rowOff>
    </xdr:to>
    <xdr:sp macro="" textlink="">
      <xdr:nvSpPr>
        <xdr:cNvPr id="2" name="ZoneTexte 1">
          <a:extLst>
            <a:ext uri="{FF2B5EF4-FFF2-40B4-BE49-F238E27FC236}">
              <a16:creationId xmlns:a16="http://schemas.microsoft.com/office/drawing/2014/main" id="{07084819-E717-4324-BAFD-428686A48F76}"/>
            </a:ext>
          </a:extLst>
        </xdr:cNvPr>
        <xdr:cNvSpPr txBox="1"/>
      </xdr:nvSpPr>
      <xdr:spPr>
        <a:xfrm>
          <a:off x="0" y="567359"/>
          <a:ext cx="7868478" cy="10304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BE" sz="1400" b="1" u="sng"/>
        </a:p>
        <a:p>
          <a:r>
            <a:rPr lang="fr-BE" sz="1400" b="1" u="sng"/>
            <a:t>Présentation de l'outil</a:t>
          </a:r>
        </a:p>
        <a:p>
          <a:endParaRPr lang="fr-BE" sz="1400" b="1" u="sng"/>
        </a:p>
        <a:p>
          <a:pPr algn="l"/>
          <a:r>
            <a:rPr lang="fr-BE" sz="1200" b="0" u="none"/>
            <a:t>Cet outil vous permet de calculer le niveau d'autonomie de votre exploitation au niveau massique, protéique et énergétique mais il est aussi possible de le calculer seulement du point de vue massique. Il permet également de calculer le niveau de réponse aux besoins alimentaires de votre exploitation par votre production de fourrages et d'aliments grossiers, votre efficience économique. Un calcul de chargement à l'hectare est également effectué. </a:t>
          </a:r>
        </a:p>
        <a:p>
          <a:pPr algn="l"/>
          <a:r>
            <a:rPr lang="fr-BE" sz="1200" b="0" u="none"/>
            <a:t>Le but de l'outil est de</a:t>
          </a:r>
          <a:r>
            <a:rPr lang="fr-BE" sz="1200" b="0" u="none" baseline="0"/>
            <a:t> vous donner un aperçu sur votre niveau d'autonomie en peu de temps. Le niveau d'autonomie que vous obtiendrez est donc un compromis entre le temps de calcul et la précision.</a:t>
          </a:r>
          <a:endParaRPr lang="fr-BE" sz="1200" b="0" u="none"/>
        </a:p>
        <a:p>
          <a:pPr algn="l"/>
          <a:r>
            <a:rPr lang="fr-BE" sz="1200" b="0" u="none"/>
            <a:t>Tout est calculé en fonction des données propres à votre exploitation que vous devez introduire en suivant les consignes suivantes:</a:t>
          </a:r>
        </a:p>
        <a:p>
          <a:endParaRPr lang="fr-BE" sz="1200" b="0" u="none"/>
        </a:p>
        <a:p>
          <a:r>
            <a:rPr lang="fr-BE" sz="1400" b="1" u="sng"/>
            <a:t>Consignes</a:t>
          </a:r>
        </a:p>
        <a:p>
          <a:endParaRPr lang="fr-BE" sz="1400" b="1" u="sng"/>
        </a:p>
        <a:p>
          <a:r>
            <a:rPr lang="fr-BE" sz="1200" b="0" u="none"/>
            <a:t>Introduisez vos données uniquement dans les cellules de couleur </a:t>
          </a:r>
          <a:r>
            <a:rPr lang="fr-BE" sz="1200" b="1" u="sng">
              <a:solidFill>
                <a:srgbClr val="92D050"/>
              </a:solidFill>
            </a:rPr>
            <a:t>verte</a:t>
          </a:r>
        </a:p>
        <a:p>
          <a:endParaRPr lang="fr-BE" sz="1200" b="1" u="sng">
            <a:solidFill>
              <a:srgbClr val="92D050"/>
            </a:solidFill>
          </a:endParaRPr>
        </a:p>
        <a:p>
          <a:r>
            <a:rPr lang="fr-BE" sz="1200" b="0" u="none"/>
            <a:t>Choisissez les données dans une</a:t>
          </a:r>
          <a:r>
            <a:rPr lang="fr-BE" sz="1200" b="0" u="none" baseline="0"/>
            <a:t> liste déroulante pour les cellules de couleur </a:t>
          </a:r>
          <a:r>
            <a:rPr lang="fr-BE" sz="1200" b="1" u="sng" baseline="0">
              <a:solidFill>
                <a:schemeClr val="accent5">
                  <a:lumMod val="50000"/>
                </a:schemeClr>
              </a:solidFill>
            </a:rPr>
            <a:t>bleu</a:t>
          </a:r>
        </a:p>
        <a:p>
          <a:endParaRPr lang="fr-BE" sz="1200" b="1" u="sng" baseline="0">
            <a:solidFill>
              <a:schemeClr val="accent5">
                <a:lumMod val="50000"/>
              </a:schemeClr>
            </a:solidFill>
          </a:endParaRPr>
        </a:p>
        <a:p>
          <a:r>
            <a:rPr lang="fr-BE" sz="1200" b="0" u="none">
              <a:solidFill>
                <a:sysClr val="windowText" lastClr="000000"/>
              </a:solidFill>
            </a:rPr>
            <a:t>Lisez les commentaires</a:t>
          </a:r>
          <a:r>
            <a:rPr lang="fr-BE" sz="1200" b="0" u="none" baseline="0">
              <a:solidFill>
                <a:sysClr val="windowText" lastClr="000000"/>
              </a:solidFill>
            </a:rPr>
            <a:t> liés aux cellules possédant dans leur coin supérieur droit un petit triangle rouge en plaçant votre curseur sur ce triangle</a:t>
          </a:r>
        </a:p>
        <a:p>
          <a:endParaRPr lang="fr-BE" sz="1200" b="0" u="none" baseline="0">
            <a:solidFill>
              <a:sysClr val="windowText" lastClr="000000"/>
            </a:solidFill>
          </a:endParaRPr>
        </a:p>
        <a:p>
          <a:r>
            <a:rPr lang="fr-BE" sz="1200" b="0" u="none" baseline="0">
              <a:solidFill>
                <a:sysClr val="windowText" lastClr="000000"/>
              </a:solidFill>
            </a:rPr>
            <a:t>Pour insérer vos données, il faut toujours double-cliquer sur la cellule concernée.</a:t>
          </a:r>
        </a:p>
        <a:p>
          <a:endParaRPr lang="fr-BE" sz="1200" b="0" u="none" baseline="0">
            <a:solidFill>
              <a:sysClr val="windowText" lastClr="000000"/>
            </a:solidFill>
          </a:endParaRPr>
        </a:p>
        <a:p>
          <a:r>
            <a:rPr lang="fr-BE" sz="1200" b="0" u="none">
              <a:solidFill>
                <a:sysClr val="windowText" lastClr="000000"/>
              </a:solidFill>
            </a:rPr>
            <a:t>Inscrivez les</a:t>
          </a:r>
          <a:r>
            <a:rPr lang="fr-BE" sz="1200" b="0" u="none" baseline="0">
              <a:solidFill>
                <a:sysClr val="windowText" lastClr="000000"/>
              </a:solidFill>
            </a:rPr>
            <a:t> données en valeur décimale pour les cellules demandant un pourcentage ou un taux, sauf pour la feuille "Troupeau laitier", où le taux protéique et le taux de matière grasse doivent être introduit en pourcent.</a:t>
          </a:r>
        </a:p>
        <a:p>
          <a:endParaRPr lang="fr-BE" sz="1200" b="0" u="none" baseline="0">
            <a:solidFill>
              <a:sysClr val="windowText" lastClr="000000"/>
            </a:solidFill>
          </a:endParaRPr>
        </a:p>
        <a:p>
          <a:r>
            <a:rPr lang="fr-BE" sz="1200" b="0" u="none" baseline="0">
              <a:solidFill>
                <a:sysClr val="windowText" lastClr="000000"/>
              </a:solidFill>
            </a:rPr>
            <a:t>Les valeurs énergétiques et protéiques pour une multitude d'aliments se trouvent dans un tableau dans la feuille "Annexe1"</a:t>
          </a:r>
        </a:p>
        <a:p>
          <a:endParaRPr lang="fr-BE" sz="1200" b="0" u="none" baseline="0">
            <a:solidFill>
              <a:sysClr val="windowText" lastClr="000000"/>
            </a:solidFill>
          </a:endParaRPr>
        </a:p>
        <a:p>
          <a:r>
            <a:rPr lang="fr-BE" sz="1200" b="0" u="none" baseline="0">
              <a:solidFill>
                <a:sysClr val="windowText" lastClr="000000"/>
              </a:solidFill>
            </a:rPr>
            <a:t>Dans la feuille "Assolement", inscrivez, uniquement pour les céréales, la surface dédiée à l'alimentation de votre troupeau</a:t>
          </a:r>
        </a:p>
        <a:p>
          <a:endParaRPr lang="fr-BE" sz="1200" b="0" u="none" baseline="0">
            <a:solidFill>
              <a:sysClr val="windowText" lastClr="000000"/>
            </a:solidFill>
          </a:endParaRPr>
        </a:p>
        <a:p>
          <a:r>
            <a:rPr lang="fr-BE" sz="1200" b="0" u="none" baseline="0">
              <a:solidFill>
                <a:sysClr val="windowText" lastClr="000000"/>
              </a:solidFill>
            </a:rPr>
            <a:t>Dans la feuille "Récolte", au niveau des céréales, renseignez uniquement la surface dont le grain et/ou la paille est utilisée dans l'alimentation de votre troupeau</a:t>
          </a:r>
        </a:p>
        <a:p>
          <a:endParaRPr lang="fr-BE" sz="1200" b="0" u="none" baseline="0">
            <a:solidFill>
              <a:sysClr val="windowText" lastClr="000000"/>
            </a:solidFill>
          </a:endParaRPr>
        </a:p>
        <a:p>
          <a:r>
            <a:rPr lang="fr-BE" sz="1200" b="0" u="none" baseline="0">
              <a:solidFill>
                <a:sysClr val="windowText" lastClr="000000"/>
              </a:solidFill>
            </a:rPr>
            <a:t>Dans la feuille "Coûts de production", ne pas prendre en compte le résultat Charge variable/ tonne de MF pour les prairies car le calcul ne prend pas en compte la production de matière fraiche des prairies pâturées</a:t>
          </a:r>
        </a:p>
        <a:p>
          <a:endParaRPr lang="fr-BE" sz="1200" b="0" u="none" baseline="0">
            <a:solidFill>
              <a:sysClr val="windowText" lastClr="000000"/>
            </a:solidFill>
          </a:endParaRPr>
        </a:p>
        <a:p>
          <a:r>
            <a:rPr lang="fr-BE" sz="1200" b="0" u="none" baseline="0">
              <a:solidFill>
                <a:sysClr val="windowText" lastClr="000000"/>
              </a:solidFill>
            </a:rPr>
            <a:t>Munissez vous de votre comptabilité de gestion, d'un listing complet des achats extérieurs d'aliments avec les quantités, les prix, ... , si besoin pour l'assolement de sa déclaration de superficie PAC</a:t>
          </a:r>
        </a:p>
        <a:p>
          <a:endParaRPr lang="fr-BE" sz="1200" b="0" u="none" baseline="0">
            <a:solidFill>
              <a:sysClr val="windowText" lastClr="000000"/>
            </a:solidFill>
          </a:endParaRPr>
        </a:p>
        <a:p>
          <a:r>
            <a:rPr lang="fr-BE" sz="1200" b="1" u="sng" baseline="0">
              <a:solidFill>
                <a:sysClr val="windowText" lastClr="000000"/>
              </a:solidFill>
            </a:rPr>
            <a:t>Précision</a:t>
          </a:r>
        </a:p>
        <a:p>
          <a:endParaRPr lang="fr-BE" sz="1200" b="0" u="none" baseline="0">
            <a:solidFill>
              <a:sysClr val="windowText" lastClr="000000"/>
            </a:solidFill>
          </a:endParaRPr>
        </a:p>
        <a:p>
          <a:r>
            <a:rPr lang="fr-BE" sz="1200" b="0" u="none" baseline="0">
              <a:solidFill>
                <a:sysClr val="windowText" lastClr="000000"/>
              </a:solidFill>
            </a:rPr>
            <a:t>Les besoins des troupeaux laitiers et viandeux hormis ceux des vaches en lactation, taries et allaitantes, ont été calculés sur base des besoins d'entretien d'une vache laitière mutipare et d'une vache allaitante multiplié par la valeur Ugb alimentaire de chaque catégorie d'animaux.</a:t>
          </a:r>
        </a:p>
        <a:p>
          <a:endParaRPr lang="fr-BE" sz="1200" b="0" u="none" baseline="0">
            <a:solidFill>
              <a:sysClr val="windowText" lastClr="000000"/>
            </a:solidFill>
          </a:endParaRPr>
        </a:p>
        <a:p>
          <a:r>
            <a:rPr lang="fr-BE" sz="1200" b="0" u="none" baseline="0">
              <a:solidFill>
                <a:sysClr val="windowText" lastClr="000000"/>
              </a:solidFill>
            </a:rPr>
            <a:t>Si l'exploitation détient un troupeau laitier et viandeux et que ce dernier représente plus de 20% du nombre d'UGB total de l'exploitation, alors les coûts de production des fourrages par litre de lait et la Marge brute de l'exploitation par litre de lait ne sont pas calculés car ces valeurs ne seraient pas justes.</a:t>
          </a:r>
          <a:endParaRPr lang="fr-BE" sz="1200" b="1" u="none" baseline="0">
            <a:solidFill>
              <a:srgbClr val="FF0000"/>
            </a:solidFill>
          </a:endParaRPr>
        </a:p>
        <a:p>
          <a:endParaRPr lang="fr-BE" sz="1200" b="1" u="none" baseline="0">
            <a:solidFill>
              <a:srgbClr val="FF0000"/>
            </a:solidFill>
          </a:endParaRPr>
        </a:p>
        <a:p>
          <a:r>
            <a:rPr lang="fr-BE" sz="1200" b="1" u="sng" baseline="0">
              <a:solidFill>
                <a:sysClr val="windowText" lastClr="000000"/>
              </a:solidFill>
            </a:rPr>
            <a:t>Sources</a:t>
          </a:r>
        </a:p>
        <a:p>
          <a:endParaRPr lang="fr-BE" sz="1200" b="1" u="sng" baseline="0">
            <a:solidFill>
              <a:sysClr val="windowText" lastClr="000000"/>
            </a:solidFill>
          </a:endParaRPr>
        </a:p>
        <a:p>
          <a:r>
            <a:rPr lang="fr-BE" sz="1100" b="0" u="none" baseline="0">
              <a:solidFill>
                <a:sysClr val="windowText" lastClr="000000"/>
              </a:solidFill>
            </a:rPr>
            <a:t>Les valeurs et les formules utilisées dans cet outil ont été inspirées de documents et rapports provenant de chez Fourrage Mieux, du CRA-W, de l'Institut de l'Elevage, du SPW et PACon Web, de l'ULG (faculté de Gembloux Agro Biotech), de l'INRA, et de Chambres d'agriculture en France.</a:t>
          </a:r>
          <a:endParaRPr lang="fr-BE" sz="1200" b="1" u="sng" baseline="0">
            <a:solidFill>
              <a:sysClr val="windowText" lastClr="000000"/>
            </a:solidFill>
          </a:endParaRPr>
        </a:p>
        <a:p>
          <a:endParaRPr lang="fr-BE" sz="1100" b="0" u="none" baseline="0">
            <a:solidFill>
              <a:sysClr val="windowText" lastClr="000000"/>
            </a:solidFill>
          </a:endParaRPr>
        </a:p>
        <a:p>
          <a:endParaRPr lang="fr-BE" sz="1200" b="0" u="none">
            <a:solidFill>
              <a:sysClr val="windowText" lastClr="000000"/>
            </a:solidFill>
          </a:endParaRPr>
        </a:p>
        <a:p>
          <a:endParaRPr lang="fr-BE" sz="1400" b="1"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1</xdr:row>
      <xdr:rowOff>44450</xdr:rowOff>
    </xdr:from>
    <xdr:to>
      <xdr:col>5</xdr:col>
      <xdr:colOff>508000</xdr:colOff>
      <xdr:row>3</xdr:row>
      <xdr:rowOff>317500</xdr:rowOff>
    </xdr:to>
    <xdr:sp macro="" textlink="">
      <xdr:nvSpPr>
        <xdr:cNvPr id="2" name="ZoneTexte 1">
          <a:extLst>
            <a:ext uri="{FF2B5EF4-FFF2-40B4-BE49-F238E27FC236}">
              <a16:creationId xmlns:a16="http://schemas.microsoft.com/office/drawing/2014/main" id="{8CB7F1E9-B8EC-4116-848B-215100C483CD}"/>
            </a:ext>
          </a:extLst>
        </xdr:cNvPr>
        <xdr:cNvSpPr txBox="1"/>
      </xdr:nvSpPr>
      <xdr:spPr>
        <a:xfrm>
          <a:off x="704850" y="381000"/>
          <a:ext cx="798195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400" b="1">
              <a:solidFill>
                <a:sysClr val="windowText" lastClr="000000"/>
              </a:solidFill>
            </a:rPr>
            <a:t>Si vous éprouvez certaines difficultées à estimer le rendement de vos récoltes fourragères, cliquer sur un</a:t>
          </a:r>
          <a:r>
            <a:rPr lang="fr-BE" sz="1400" b="1" baseline="0">
              <a:solidFill>
                <a:sysClr val="windowText" lastClr="000000"/>
              </a:solidFill>
            </a:rPr>
            <a:t> des</a:t>
          </a:r>
          <a:r>
            <a:rPr lang="fr-BE" sz="1400" b="1">
              <a:solidFill>
                <a:sysClr val="windowText" lastClr="000000"/>
              </a:solidFill>
            </a:rPr>
            <a:t> liens ci-dessous,</a:t>
          </a:r>
          <a:r>
            <a:rPr lang="fr-BE" sz="1400" b="1" baseline="0">
              <a:solidFill>
                <a:sysClr val="windowText" lastClr="000000"/>
              </a:solidFill>
            </a:rPr>
            <a:t> il </a:t>
          </a:r>
          <a:r>
            <a:rPr lang="fr-BE" sz="1400" b="1">
              <a:solidFill>
                <a:sysClr val="windowText" lastClr="000000"/>
              </a:solidFill>
            </a:rPr>
            <a:t>peuvent sûrement vous aider ( ATTENTION, DANS CES LIENS, LE RENDEMENT QUE VOUS OBTIENDREZ SERA EN TONNES DE MS DONC IL FAUT ABSOLUMENT LE CONVERTIR EN TONNES DE MF AVANT DE L INTRODUIRE DANS LE TABLEAU DES RECOLTES):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B9:L110" totalsRowShown="0" headerRowDxfId="153" headerRowBorderDxfId="152" tableBorderDxfId="151">
  <autoFilter ref="B9:L110" xr:uid="{00000000-0009-0000-0100-000001000000}"/>
  <tableColumns count="11">
    <tableColumn id="1" xr3:uid="{00000000-0010-0000-0000-000001000000}" name="Types de cultures" dataDxfId="150"/>
    <tableColumn id="2" xr3:uid="{00000000-0010-0000-0000-000002000000}" name="Description" dataDxfId="149"/>
    <tableColumn id="3" xr3:uid="{00000000-0010-0000-0000-000003000000}" name="Superficie (Ha)" dataDxfId="148"/>
    <tableColumn id="4" xr3:uid="{00000000-0010-0000-0000-000004000000}" name="Rdmt (T/Ha)" dataDxfId="147">
      <calculatedColumnFormula>SUM(Tableau1[Rdmt (T/Ha)])</calculatedColumnFormula>
    </tableColumn>
    <tableColumn id="5" xr3:uid="{00000000-0010-0000-0000-000005000000}" name="Rdmt MF" dataDxfId="146"/>
    <tableColumn id="6" xr3:uid="{00000000-0010-0000-0000-000006000000}" name="% MS" dataDxfId="145" dataCellStyle="Pourcentage"/>
    <tableColumn id="7" xr3:uid="{00000000-0010-0000-0000-000007000000}" name="T de MS" dataDxfId="144"/>
    <tableColumn id="8" xr3:uid="{00000000-0010-0000-0000-000008000000}" name="VEM/T de MS" dataDxfId="143"/>
    <tableColumn id="11" xr3:uid="{E33CB8D7-5D87-48F0-A0F1-F2C3D9E48432}" name="VEM Totaux" dataDxfId="142"/>
    <tableColumn id="9" xr3:uid="{00000000-0010-0000-0000-000009000000}" name="Kg de DVE/T de MS" dataDxfId="141"/>
    <tableColumn id="10" xr3:uid="{758FC955-859B-469D-8B3A-BE50B4CF1CC1}" name="Kg de DVE Totaux" dataDxfId="14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au5101112" displayName="Tableau5101112" ref="B20:K25" totalsRowShown="0" headerRowDxfId="70" headerRowBorderDxfId="69" tableBorderDxfId="68">
  <autoFilter ref="B20:K25" xr:uid="{00000000-0009-0000-0100-00000B000000}"/>
  <tableColumns count="10">
    <tableColumn id="1" xr3:uid="{00000000-0010-0000-0900-000001000000}" name="Céréales"/>
    <tableColumn id="2" xr3:uid="{00000000-0010-0000-0900-000002000000}" name="Quantités (T)" dataDxfId="67">
      <calculatedColumnFormula>SUM(C18:C20)</calculatedColumnFormula>
    </tableColumn>
    <tableColumn id="3" xr3:uid="{00000000-0010-0000-0900-000003000000}" name="% MS"/>
    <tableColumn id="4" xr3:uid="{00000000-0010-0000-0900-000004000000}" name=" T de MS"/>
    <tableColumn id="5" xr3:uid="{00000000-0010-0000-0900-000005000000}" name="VEM/T de MS" dataDxfId="66">
      <calculatedColumnFormula>SUM(F17:F20)</calculatedColumnFormula>
    </tableColumn>
    <tableColumn id="10" xr3:uid="{2CD8CEC8-26EA-4726-B587-411B2F396685}" name="VEM Totaux" dataDxfId="65"/>
    <tableColumn id="6" xr3:uid="{00000000-0010-0000-0900-000006000000}" name="Kg de DVE/T de MS" dataDxfId="64">
      <calculatedColumnFormula>SUM(#REF!)</calculatedColumnFormula>
    </tableColumn>
    <tableColumn id="9" xr3:uid="{FD766140-D003-47D8-BDF1-5C6091304C9E}" name="Kg de DVE Totaux" dataDxfId="63"/>
    <tableColumn id="7" xr3:uid="{00000000-0010-0000-0900-000007000000}" name="Prix (€/T)" dataDxfId="62">
      <calculatedColumnFormula>SUM(H17:H20)</calculatedColumnFormula>
    </tableColumn>
    <tableColumn id="8" xr3:uid="{718AA4A4-C2F2-45F6-8E21-121A46E945C7}" name="Coûts d'achat (€)" dataDxfId="61">
      <calculatedColumnFormula>SUM(I17:I20)</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au5101113" displayName="Tableau5101113" ref="B28:K34" totalsRowShown="0" headerRowDxfId="60" headerRowBorderDxfId="59" tableBorderDxfId="58">
  <autoFilter ref="B28:K34" xr:uid="{00000000-0009-0000-0100-00000C000000}"/>
  <tableColumns count="10">
    <tableColumn id="1" xr3:uid="{00000000-0010-0000-0A00-000001000000}" name="Paille"/>
    <tableColumn id="2" xr3:uid="{00000000-0010-0000-0A00-000002000000}" name="Quantités (T)" dataDxfId="57">
      <calculatedColumnFormula>SUM(C24:C28)</calculatedColumnFormula>
    </tableColumn>
    <tableColumn id="3" xr3:uid="{00000000-0010-0000-0A00-000003000000}" name="% MS"/>
    <tableColumn id="4" xr3:uid="{00000000-0010-0000-0A00-000004000000}" name=" T de MS"/>
    <tableColumn id="5" xr3:uid="{00000000-0010-0000-0A00-000005000000}" name="VEM/T de MS" dataDxfId="56">
      <calculatedColumnFormula>SUM(F26:F28)</calculatedColumnFormula>
    </tableColumn>
    <tableColumn id="9" xr3:uid="{C47AC68D-2F9C-41F2-B8D2-03A65B9469E1}" name="VEM Totaux" dataDxfId="55"/>
    <tableColumn id="6" xr3:uid="{00000000-0010-0000-0A00-000006000000}" name="Kg de DVE/T de MS" dataDxfId="54">
      <calculatedColumnFormula>SUM(G26:G28)</calculatedColumnFormula>
    </tableColumn>
    <tableColumn id="10" xr3:uid="{304662D8-0CF8-4109-9C5A-B889B8475C0A}" name="Kg de DVE Totaux" dataDxfId="53"/>
    <tableColumn id="7" xr3:uid="{00000000-0010-0000-0A00-000007000000}" name="Prix (€/T)" dataDxfId="52">
      <calculatedColumnFormula>SUM(H26:H28)</calculatedColumnFormula>
    </tableColumn>
    <tableColumn id="8" xr3:uid="{F059F944-AE84-4B84-A23E-EFFFEA0E1B74}" name="Coûts d'achat (€)" dataDxfId="51">
      <calculatedColumnFormula>SUM(I24:I28)</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au510111314" displayName="Tableau510111314" ref="B37:K41" totalsRowShown="0" headerRowDxfId="50" headerRowBorderDxfId="49" tableBorderDxfId="48">
  <autoFilter ref="B37:K41" xr:uid="{00000000-0009-0000-0100-00000D000000}"/>
  <tableColumns count="10">
    <tableColumn id="1" xr3:uid="{00000000-0010-0000-0B00-000001000000}" name="Co-produits de l'industrie"/>
    <tableColumn id="2" xr3:uid="{00000000-0010-0000-0B00-000002000000}" name="Quantités (T)" dataDxfId="47">
      <calculatedColumnFormula>SUM(C35:C37)</calculatedColumnFormula>
    </tableColumn>
    <tableColumn id="3" xr3:uid="{00000000-0010-0000-0B00-000003000000}" name="% MS"/>
    <tableColumn id="4" xr3:uid="{00000000-0010-0000-0B00-000004000000}" name=" T de MS"/>
    <tableColumn id="5" xr3:uid="{00000000-0010-0000-0B00-000005000000}" name="VEM/T de MS" dataDxfId="46">
      <calculatedColumnFormula>SUM(F35:F37)</calculatedColumnFormula>
    </tableColumn>
    <tableColumn id="10" xr3:uid="{5CBB20EC-5A20-4368-9C43-5D96F1FEC773}" name="VEM Totaux" dataDxfId="45"/>
    <tableColumn id="6" xr3:uid="{00000000-0010-0000-0B00-000006000000}" name="Kg de DVE/T de MS" dataDxfId="44">
      <calculatedColumnFormula>SUM(G35:G37)</calculatedColumnFormula>
    </tableColumn>
    <tableColumn id="9" xr3:uid="{F7F5CE05-85F7-44E4-BF3B-24BE340CAFFC}" name="Kg de DVE Totaux" dataDxfId="43"/>
    <tableColumn id="7" xr3:uid="{00000000-0010-0000-0B00-000007000000}" name="Prix (€/T)" dataDxfId="42">
      <calculatedColumnFormula>SUM(H35:H37)</calculatedColumnFormula>
    </tableColumn>
    <tableColumn id="8" xr3:uid="{58A2FBA9-A1FA-47B6-AA55-DAB5E985076C}" name="Coûts d'achat (€)" dataDxfId="41">
      <calculatedColumnFormula>SUM(I35:I37)</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au510111215" displayName="Tableau510111215" ref="B5:K10" totalsRowShown="0" headerRowDxfId="40" headerRowBorderDxfId="39" tableBorderDxfId="38">
  <autoFilter ref="B5:K10" xr:uid="{00000000-0009-0000-0100-00000E000000}"/>
  <tableColumns count="10">
    <tableColumn id="1" xr3:uid="{00000000-0010-0000-0C00-000001000000}" name="Concentrés"/>
    <tableColumn id="2" xr3:uid="{00000000-0010-0000-0C00-000002000000}" name="Quantités (T)" dataDxfId="37">
      <calculatedColumnFormula>SUM(C3:C5)</calculatedColumnFormula>
    </tableColumn>
    <tableColumn id="3" xr3:uid="{00000000-0010-0000-0C00-000003000000}" name="% MS"/>
    <tableColumn id="4" xr3:uid="{00000000-0010-0000-0C00-000004000000}" name=" T de MS"/>
    <tableColumn id="5" xr3:uid="{00000000-0010-0000-0C00-000005000000}" name="VEM/T de MS" dataDxfId="36">
      <calculatedColumnFormula>SUM(F2:F5)</calculatedColumnFormula>
    </tableColumn>
    <tableColumn id="9" xr3:uid="{164D899E-5E5F-427A-B6E8-67FFC83449BF}" name="VEM Totaux" dataDxfId="35"/>
    <tableColumn id="6" xr3:uid="{00000000-0010-0000-0C00-000006000000}" name="Kg de DVE/T de MS" dataDxfId="34">
      <calculatedColumnFormula>SUM(#REF!)</calculatedColumnFormula>
    </tableColumn>
    <tableColumn id="10" xr3:uid="{1D3B2F9C-FDF4-41D7-8F5C-7C6A71779872}" name="Kg de DVE Totaux" dataDxfId="33"/>
    <tableColumn id="7" xr3:uid="{00000000-0010-0000-0C00-000007000000}" name="Prix (€/T)" dataDxfId="32">
      <calculatedColumnFormula>SUM(H2:H5)</calculatedColumnFormula>
    </tableColumn>
    <tableColumn id="8" xr3:uid="{F3E81632-C7C0-437C-A405-7577AAB02C98}" name="Coûts d'achat (€)" dataDxfId="31">
      <calculatedColumnFormula>SUM(I2,I3,I4,K5,)</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D000000}" name="Tableau5" displayName="Tableau5" ref="B4:G10" totalsRowShown="0" headerRowDxfId="30" headerRowBorderDxfId="29" tableBorderDxfId="28">
  <autoFilter ref="B4:G10" xr:uid="{00000000-0009-0000-0100-000005000000}"/>
  <tableColumns count="6">
    <tableColumn id="1" xr3:uid="{00000000-0010-0000-0D00-000001000000}" name="Achats"/>
    <tableColumn id="2" xr3:uid="{00000000-0010-0000-0D00-000002000000}" name="Quantités (T)"/>
    <tableColumn id="4" xr3:uid="{00000000-0010-0000-0D00-000004000000}" name=" T de MS"/>
    <tableColumn id="5" xr3:uid="{00000000-0010-0000-0D00-000005000000}" name="VEM Totaux" dataDxfId="27">
      <calculatedColumnFormula>SUM(F1:F4)</calculatedColumnFormula>
    </tableColumn>
    <tableColumn id="6" xr3:uid="{00000000-0010-0000-0D00-000006000000}" name="Kg de DVE Totaux" dataDxfId="26">
      <calculatedColumnFormula>SUM(G1:G4)</calculatedColumnFormula>
    </tableColumn>
    <tableColumn id="7" xr3:uid="{00000000-0010-0000-0D00-000007000000}" name="Coûts d'achat (€)" dataDxfId="25">
      <calculatedColumnFormula>SUM(H1:H4)</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E000000}" name="Tableau4" displayName="Tableau4" ref="B9:F27" totalsRowShown="0" headerRowDxfId="24" headerRowBorderDxfId="23" tableBorderDxfId="22">
  <autoFilter ref="B9:F27" xr:uid="{00000000-0009-0000-0100-000004000000}"/>
  <tableColumns count="5">
    <tableColumn id="1" xr3:uid="{00000000-0010-0000-0E00-000001000000}" name="Type de culture" dataDxfId="21"/>
    <tableColumn id="2" xr3:uid="{00000000-0010-0000-0E00-000002000000}" name="Charges variables/an" dataDxfId="20"/>
    <tableColumn id="3" xr3:uid="{00000000-0010-0000-0E00-000003000000}" name="CV/Ha" dataDxfId="19"/>
    <tableColumn id="4" xr3:uid="{00000000-0010-0000-0E00-000004000000}" name="CV/T MF"/>
    <tableColumn id="5" xr3:uid="{00000000-0010-0000-0E00-000005000000}" name="CV/T MS" dataDxfId="18"/>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B793AFB-E375-4F1A-B947-8FC337389521}" name="Tableau17" displayName="Tableau17" ref="B13:C17" totalsRowShown="0" headerRowDxfId="17" headerRowBorderDxfId="16" tableBorderDxfId="15">
  <autoFilter ref="B13:C17" xr:uid="{8815B2FB-932F-4B1E-9566-01B13A84A18C}"/>
  <tableColumns count="2">
    <tableColumn id="1" xr3:uid="{CC62F301-CD28-4AD3-8104-45B145186045}" name="Coûts annuels"/>
    <tableColumn id="2" xr3:uid="{00A83D7E-6F44-4946-9076-0F9DF8D63900}" name="Colonne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au16" displayName="Tableau16" ref="A6:J62" totalsRowShown="0" headerRowDxfId="14" dataDxfId="12" headerRowBorderDxfId="13" tableBorderDxfId="11" totalsRowBorderDxfId="10">
  <autoFilter ref="A6:J62" xr:uid="{00000000-0009-0000-0100-000010000000}"/>
  <tableColumns count="10">
    <tableColumn id="1" xr3:uid="{00000000-0010-0000-0F00-000001000000}" name="Aliments" dataDxfId="9"/>
    <tableColumn id="9" xr3:uid="{7334ABBE-93B6-4382-A54C-ACCC15DA4F16}" name="%M-S" dataDxfId="8"/>
    <tableColumn id="2" xr3:uid="{00000000-0010-0000-0F00-000002000000}" name="VEM" dataDxfId="7"/>
    <tableColumn id="3" xr3:uid="{00000000-0010-0000-0F00-000003000000}" name="VEVI" dataDxfId="6"/>
    <tableColumn id="4" xr3:uid="{00000000-0010-0000-0F00-000004000000}" name="DVE" dataDxfId="5"/>
    <tableColumn id="5" xr3:uid="{00000000-0010-0000-0F00-000005000000}" name="Aliments2" dataDxfId="4"/>
    <tableColumn id="10" xr3:uid="{0A137363-3B76-47A2-B602-532A5CAFD83E}" name="%M-S2" dataDxfId="3"/>
    <tableColumn id="6" xr3:uid="{00000000-0010-0000-0F00-000006000000}" name="VEM2" dataDxfId="2"/>
    <tableColumn id="7" xr3:uid="{00000000-0010-0000-0F00-000007000000}" name="VEVI2" dataDxfId="1"/>
    <tableColumn id="8" xr3:uid="{00000000-0010-0000-0F00-000008000000}" name="DVE2"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B5:J32" totalsRowShown="0" headerRowDxfId="139" headerRowBorderDxfId="138" tableBorderDxfId="137">
  <autoFilter ref="B5:J32" xr:uid="{00000000-0009-0000-0100-000002000000}"/>
  <tableColumns count="9">
    <tableColumn id="1" xr3:uid="{00000000-0010-0000-0100-000001000000}" name="Type de prairie"/>
    <tableColumn id="9" xr3:uid="{00000000-0010-0000-0100-000009000000}" name="Nom du morceau"/>
    <tableColumn id="2" xr3:uid="{00000000-0010-0000-0100-000002000000}" name="Superficie (Ha)"/>
    <tableColumn id="3" xr3:uid="{00000000-0010-0000-0100-000003000000}" name="Nbre jours Pâturés"/>
    <tableColumn id="4" xr3:uid="{00000000-0010-0000-0100-000004000000}" name="Rdmt moyen en fonction de la région agricole(T MS/Ha)*"/>
    <tableColumn id="5" xr3:uid="{00000000-0010-0000-0100-000005000000}" name="Qualité Herbe"/>
    <tableColumn id="6" xr3:uid="{00000000-0010-0000-0100-000006000000}" name="Rdmt MS"/>
    <tableColumn id="7" xr3:uid="{00000000-0010-0000-0100-000007000000}" name="Production énergétique"/>
    <tableColumn id="8" xr3:uid="{00000000-0010-0000-0100-000008000000}" name="Production protéiqu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3" displayName="Tableau3" ref="L6:P16" totalsRowShown="0" headerRowDxfId="136" dataDxfId="135">
  <autoFilter ref="L6:P16" xr:uid="{00000000-0009-0000-0100-000003000000}"/>
  <tableColumns count="5">
    <tableColumn id="1" xr3:uid="{00000000-0010-0000-0200-000001000000}" name="Régions agricoles" dataDxfId="134"/>
    <tableColumn id="2" xr3:uid="{00000000-0010-0000-0200-000002000000}" name="Rendement moyen" dataDxfId="133"/>
    <tableColumn id="3" xr3:uid="{00000000-0010-0000-0200-000003000000}" name="Moyenne" dataDxfId="132"/>
    <tableColumn id="4" xr3:uid="{00000000-0010-0000-0200-000004000000}" name="Rendement moyen2" dataDxfId="131"/>
    <tableColumn id="5" xr3:uid="{00000000-0010-0000-0200-000005000000}" name="Moyenne2" dataDxfId="13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au51011121510" displayName="Tableau51011121510" ref="B5:I13" totalsRowShown="0" headerRowDxfId="129" headerRowBorderDxfId="128" tableBorderDxfId="127">
  <autoFilter ref="B5:I13" xr:uid="{00000000-0009-0000-0100-000009000000}"/>
  <tableColumns count="8">
    <tableColumn id="1" xr3:uid="{00000000-0010-0000-0300-000001000000}" name="Stock" dataDxfId="126"/>
    <tableColumn id="2" xr3:uid="{00000000-0010-0000-0300-000002000000}" name="Quantités (T)" dataDxfId="125">
      <calculatedColumnFormula>SUM(C3:C5)</calculatedColumnFormula>
    </tableColumn>
    <tableColumn id="3" xr3:uid="{00000000-0010-0000-0300-000003000000}" name="% MS"/>
    <tableColumn id="4" xr3:uid="{00000000-0010-0000-0300-000004000000}" name=" T de MS"/>
    <tableColumn id="5" xr3:uid="{00000000-0010-0000-0300-000005000000}" name="VEM/T de MS" dataDxfId="124">
      <calculatedColumnFormula>SUM(F2:F5)</calculatedColumnFormula>
    </tableColumn>
    <tableColumn id="7" xr3:uid="{8568DBA6-853F-433E-8B26-8F90A4B820CA}" name="VEM Totaux" dataDxfId="123"/>
    <tableColumn id="6" xr3:uid="{00000000-0010-0000-0300-000006000000}" name="Kg de DVE/T de MS" dataDxfId="122">
      <calculatedColumnFormula>SUM(#REF!)</calculatedColumnFormula>
    </tableColumn>
    <tableColumn id="8" xr3:uid="{12AE52CE-9B70-40E6-A189-C32959DAD18A}" name="Kg de DVE Totaux" dataDxfId="12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au6" displayName="Tableau6" ref="B8:L22" totalsRowShown="0" headerRowDxfId="120" headerRowBorderDxfId="119" tableBorderDxfId="118">
  <autoFilter ref="B8:L22" xr:uid="{00000000-0009-0000-0100-000006000000}"/>
  <tableColumns count="11">
    <tableColumn id="1" xr3:uid="{00000000-0010-0000-0400-000001000000}" name="inventaire du troupeau" dataDxfId="117"/>
    <tableColumn id="2" xr3:uid="{00000000-0010-0000-0400-000002000000}" name="Nbre d'animaux" dataDxfId="116"/>
    <tableColumn id="3" xr3:uid="{00000000-0010-0000-0400-000003000000}" name="Valeurs UGB alimentation" dataDxfId="115"/>
    <tableColumn id="4" xr3:uid="{00000000-0010-0000-0400-000004000000}" name="Nbre d'UGB" dataDxfId="114"/>
    <tableColumn id="5" xr3:uid="{00000000-0010-0000-0400-000005000000}" name="Poids moyen animal (Kg)" dataDxfId="113"/>
    <tableColumn id="6" xr3:uid="{00000000-0010-0000-0400-000006000000}" name="Production laitière/vache/jour (Kg)" dataDxfId="112"/>
    <tableColumn id="7" xr3:uid="{00000000-0010-0000-0400-000007000000}" name="Taux de M-G du lait (%)" dataDxfId="111"/>
    <tableColumn id="8" xr3:uid="{00000000-0010-0000-0400-000008000000}" name="Taux protéique du lait (%)" dataDxfId="110"/>
    <tableColumn id="9" xr3:uid="{00000000-0010-0000-0400-000009000000}" name="Ingestion (Kg MS/an)" dataDxfId="109"/>
    <tableColumn id="10" xr3:uid="{00000000-0010-0000-0400-00000A000000}" name="Ingestion VEM/an" dataDxfId="108"/>
    <tableColumn id="11" xr3:uid="{00000000-0010-0000-0400-00000B000000}" name="Ingestion g DVE/an" dataDxfId="10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au7" displayName="Tableau7" ref="B6:H24" totalsRowShown="0" headerRowDxfId="106" tableBorderDxfId="105">
  <autoFilter ref="B6:H24" xr:uid="{00000000-0009-0000-0100-000007000000}"/>
  <tableColumns count="7">
    <tableColumn id="1" xr3:uid="{00000000-0010-0000-0500-000001000000}" name="Inventaire du troupeau" dataDxfId="104"/>
    <tableColumn id="2" xr3:uid="{00000000-0010-0000-0500-000002000000}" name="Nbre d'animaux" dataDxfId="103"/>
    <tableColumn id="3" xr3:uid="{00000000-0010-0000-0500-000003000000}" name="Valeurs UGBalimentation" dataDxfId="102"/>
    <tableColumn id="4" xr3:uid="{00000000-0010-0000-0500-000004000000}" name="Nbre d'UGB" dataDxfId="101"/>
    <tableColumn id="6" xr3:uid="{00000000-0010-0000-0500-000006000000}" name="Ingestion (Kg MS/an)" dataDxfId="100"/>
    <tableColumn id="7" xr3:uid="{00000000-0010-0000-0500-000007000000}" name="Ingestion VEM/an" dataDxfId="99"/>
    <tableColumn id="8" xr3:uid="{00000000-0010-0000-0500-000008000000}" name="Ingestion g DVE/an" dataDxfId="9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au8" displayName="Tableau8" ref="B30:H49" totalsRowShown="0" headerRowDxfId="97" tableBorderDxfId="96">
  <autoFilter ref="B30:H49" xr:uid="{00000000-0009-0000-0100-000008000000}"/>
  <tableColumns count="7">
    <tableColumn id="1" xr3:uid="{00000000-0010-0000-0600-000001000000}" name="Inventaire du troupeau" dataDxfId="95"/>
    <tableColumn id="2" xr3:uid="{00000000-0010-0000-0600-000002000000}" name="Nbre d'animaux" dataDxfId="94"/>
    <tableColumn id="3" xr3:uid="{00000000-0010-0000-0600-000003000000}" name="Valeurs UGBalimentation" dataDxfId="93"/>
    <tableColumn id="4" xr3:uid="{00000000-0010-0000-0600-000004000000}" name="Nbre d'UGB" dataDxfId="92"/>
    <tableColumn id="6" xr3:uid="{00000000-0010-0000-0600-000006000000}" name="Ingestion (Kg MS/an)" dataDxfId="91"/>
    <tableColumn id="7" xr3:uid="{00000000-0010-0000-0600-000007000000}" name="Ingestion VEM/an" dataDxfId="90"/>
    <tableColumn id="8" xr3:uid="{00000000-0010-0000-0600-000008000000}" name="Ingestion g DVE/an" dataDxfId="8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7000000}" name="Tableau15" displayName="Tableau15" ref="B5:E13" totalsRowShown="0" headerRowDxfId="88" headerRowBorderDxfId="87" tableBorderDxfId="86" totalsRowBorderDxfId="85">
  <autoFilter ref="B5:E13" xr:uid="{00000000-0009-0000-0100-00000F000000}"/>
  <tableColumns count="4">
    <tableColumn id="1" xr3:uid="{00000000-0010-0000-0700-000001000000}" name="Colonne1" dataDxfId="84"/>
    <tableColumn id="2" xr3:uid="{00000000-0010-0000-0700-000002000000}" name="Nbre d'animaux" dataDxfId="83"/>
    <tableColumn id="3" xr3:uid="{00000000-0010-0000-0700-000003000000}" name="Valeur UGB" dataDxfId="82"/>
    <tableColumn id="4" xr3:uid="{00000000-0010-0000-0700-000004000000}" name="Nbre d'UGB" dataDxfId="81"/>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au51011" displayName="Tableau51011" ref="B13:K17" totalsRowShown="0" headerRowDxfId="80" headerRowBorderDxfId="79" tableBorderDxfId="78">
  <autoFilter ref="B13:K17" xr:uid="{00000000-0009-0000-0100-00000A000000}"/>
  <tableColumns count="10">
    <tableColumn id="1" xr3:uid="{00000000-0010-0000-0800-000001000000}" name="Fourrages"/>
    <tableColumn id="2" xr3:uid="{00000000-0010-0000-0800-000002000000}" name="Quantités (T)" dataDxfId="77">
      <calculatedColumnFormula>SUM(C11:C13)</calculatedColumnFormula>
    </tableColumn>
    <tableColumn id="3" xr3:uid="{00000000-0010-0000-0800-000003000000}" name="% MS"/>
    <tableColumn id="4" xr3:uid="{00000000-0010-0000-0800-000004000000}" name=" T de MS"/>
    <tableColumn id="5" xr3:uid="{00000000-0010-0000-0800-000005000000}" name="VEM/T de MS" dataDxfId="76">
      <calculatedColumnFormula>SUM(#REF!)</calculatedColumnFormula>
    </tableColumn>
    <tableColumn id="9" xr3:uid="{476885C3-A17E-4295-A773-A875A5A29B3B}" name="VEM Totaux" dataDxfId="75"/>
    <tableColumn id="6" xr3:uid="{00000000-0010-0000-0800-000006000000}" name="Kg de DVE/T de MS" dataDxfId="74">
      <calculatedColumnFormula>SUM(#REF!)</calculatedColumnFormula>
    </tableColumn>
    <tableColumn id="10" xr3:uid="{9BBF2DAE-A2C5-4BD8-99EF-1762A0D8D50F}" name="Kg de DVE Totaux" dataDxfId="73"/>
    <tableColumn id="7" xr3:uid="{00000000-0010-0000-0800-000007000000}" name="Prix (€/T)" dataDxfId="72">
      <calculatedColumnFormula>SUM(#REF!)</calculatedColumnFormula>
    </tableColumn>
    <tableColumn id="8" xr3:uid="{02CDFBCC-40CB-460B-883D-A5D6C5DF8E4B}" name="Coûts d'achat (€)" dataDxfId="71">
      <calculatedColumnFormula>SUM(I11,I12,K13)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omments" Target="../comments1.xml"/><Relationship Id="rId2" Type="http://schemas.openxmlformats.org/officeDocument/2006/relationships/hyperlink" Target="http://www.haute-loire.chambagri.fr/sites/agri43/IMG/pdf/Normes_fourragers_1.pdf" TargetMode="External"/><Relationship Id="rId1" Type="http://schemas.openxmlformats.org/officeDocument/2006/relationships/hyperlink" Target="http://www.herbe-fourrages-limousin.fr/fileadmin/documents/doc_pascaline/Estimation_de_densite_fourrages_-_novembre_2012.pdf"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71659-D9ED-4D97-AFFF-BFE14470C696}">
  <sheetPr codeName="Feuil1"/>
  <dimension ref="A1:L35"/>
  <sheetViews>
    <sheetView tabSelected="1" zoomScale="55" zoomScaleNormal="55" workbookViewId="0">
      <selection activeCell="D38" sqref="D38"/>
    </sheetView>
  </sheetViews>
  <sheetFormatPr baseColWidth="10" defaultRowHeight="14.5" x14ac:dyDescent="0.35"/>
  <cols>
    <col min="1" max="1" width="5.1796875" customWidth="1"/>
    <col min="11" max="11" width="35.7265625" customWidth="1"/>
    <col min="12" max="12" width="52.7265625" customWidth="1"/>
  </cols>
  <sheetData>
    <row r="1" spans="1:12" ht="18.649999999999999" customHeight="1" x14ac:dyDescent="0.85">
      <c r="A1" s="390"/>
      <c r="B1" s="545" t="s">
        <v>303</v>
      </c>
      <c r="C1" s="546"/>
      <c r="D1" s="546"/>
      <c r="E1" s="546"/>
      <c r="F1" s="546"/>
      <c r="G1" s="546"/>
      <c r="H1" s="546"/>
      <c r="I1" s="546"/>
      <c r="J1" s="546"/>
      <c r="K1" s="547"/>
      <c r="L1" s="390"/>
    </row>
    <row r="2" spans="1:12" x14ac:dyDescent="0.35">
      <c r="B2" s="548"/>
      <c r="C2" s="549"/>
      <c r="D2" s="549"/>
      <c r="E2" s="549"/>
      <c r="F2" s="549"/>
      <c r="G2" s="549"/>
      <c r="H2" s="549"/>
      <c r="I2" s="549"/>
      <c r="J2" s="549"/>
      <c r="K2" s="550"/>
    </row>
    <row r="3" spans="1:12" x14ac:dyDescent="0.35">
      <c r="B3" s="548"/>
      <c r="C3" s="549"/>
      <c r="D3" s="549"/>
      <c r="E3" s="549"/>
      <c r="F3" s="549"/>
      <c r="G3" s="549"/>
      <c r="H3" s="549"/>
      <c r="I3" s="549"/>
      <c r="J3" s="549"/>
      <c r="K3" s="550"/>
    </row>
    <row r="4" spans="1:12" ht="15" thickBot="1" x14ac:dyDescent="0.4">
      <c r="B4" s="551"/>
      <c r="C4" s="552"/>
      <c r="D4" s="552"/>
      <c r="E4" s="552"/>
      <c r="F4" s="552"/>
      <c r="G4" s="552"/>
      <c r="H4" s="552"/>
      <c r="I4" s="552"/>
      <c r="J4" s="552"/>
      <c r="K4" s="553"/>
    </row>
    <row r="5" spans="1:12" x14ac:dyDescent="0.35">
      <c r="F5" t="s">
        <v>328</v>
      </c>
    </row>
    <row r="9" spans="1:12" x14ac:dyDescent="0.35">
      <c r="C9" s="391"/>
    </row>
    <row r="35" spans="2:9" x14ac:dyDescent="0.35">
      <c r="B35" s="554" t="s">
        <v>362</v>
      </c>
      <c r="C35" s="555"/>
      <c r="D35" s="555"/>
      <c r="E35" s="555"/>
      <c r="F35" s="555"/>
      <c r="G35" s="555"/>
      <c r="H35" s="555"/>
      <c r="I35" s="555"/>
    </row>
  </sheetData>
  <sheetProtection sheet="1" objects="1" scenarios="1" selectLockedCells="1"/>
  <mergeCells count="2">
    <mergeCell ref="B1:K4"/>
    <mergeCell ref="B35:I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theme="7" tint="-0.249977111117893"/>
  </sheetPr>
  <dimension ref="B1:E22"/>
  <sheetViews>
    <sheetView zoomScale="85" zoomScaleNormal="85" workbookViewId="0">
      <selection activeCell="E18" sqref="E18"/>
    </sheetView>
  </sheetViews>
  <sheetFormatPr baseColWidth="10" defaultRowHeight="14.5" x14ac:dyDescent="0.35"/>
  <cols>
    <col min="2" max="2" width="52.54296875" customWidth="1"/>
    <col min="3" max="3" width="23.453125" customWidth="1"/>
    <col min="4" max="4" width="16.1796875" customWidth="1"/>
    <col min="5" max="5" width="20.26953125" customWidth="1"/>
  </cols>
  <sheetData>
    <row r="1" spans="2:5" ht="26.5" thickBot="1" x14ac:dyDescent="0.65">
      <c r="B1" s="562" t="s">
        <v>322</v>
      </c>
      <c r="C1" s="599"/>
      <c r="D1" s="599"/>
      <c r="E1" s="600"/>
    </row>
    <row r="4" spans="2:5" ht="15" thickBot="1" x14ac:dyDescent="0.4"/>
    <row r="5" spans="2:5" ht="19" thickBot="1" x14ac:dyDescent="0.5">
      <c r="B5" s="210" t="s">
        <v>121</v>
      </c>
      <c r="C5" s="42" t="s">
        <v>22</v>
      </c>
      <c r="D5" s="42" t="s">
        <v>182</v>
      </c>
      <c r="E5" s="215" t="s">
        <v>25</v>
      </c>
    </row>
    <row r="6" spans="2:5" ht="18.5" x14ac:dyDescent="0.45">
      <c r="B6" s="208" t="s">
        <v>334</v>
      </c>
      <c r="C6" s="32">
        <f>SUM('troupeaux laitier '!C9,'troupeaux laitier '!C10,'troupeaux laitier '!C11,'troupeaux laitier '!C12)</f>
        <v>0</v>
      </c>
      <c r="D6" s="32">
        <v>1</v>
      </c>
      <c r="E6" s="216">
        <f>$C6*$D6</f>
        <v>0</v>
      </c>
    </row>
    <row r="7" spans="2:5" ht="18.5" x14ac:dyDescent="0.45">
      <c r="B7" s="209" t="s">
        <v>183</v>
      </c>
      <c r="C7" s="33">
        <f>SUM(Tableau7[[#This Row],[Nbre d''animaux]],'Troupeau viandeux'!C31,'Troupeau viandeux'!C32)</f>
        <v>0</v>
      </c>
      <c r="D7" s="33">
        <v>0.8</v>
      </c>
      <c r="E7" s="216">
        <f t="shared" ref="E7:E12" si="0">$C7*$D7</f>
        <v>0</v>
      </c>
    </row>
    <row r="8" spans="2:5" ht="18.5" x14ac:dyDescent="0.45">
      <c r="B8" s="209" t="s">
        <v>184</v>
      </c>
      <c r="C8" s="33">
        <f>SUM('troupeaux laitier '!C13,'troupeaux laitier '!C17,'troupeaux laitier '!C19,Tableau7[[#This Row],[Nbre d''animaux]],'Troupeau viandeux'!C13,'Troupeau viandeux'!C19,'Troupeau viandeux'!C33,'Troupeau viandeux'!C38,'Troupeau viandeux'!C44)</f>
        <v>0</v>
      </c>
      <c r="D8" s="33">
        <v>0.4</v>
      </c>
      <c r="E8" s="216">
        <f t="shared" si="0"/>
        <v>0</v>
      </c>
    </row>
    <row r="9" spans="2:5" ht="18.5" x14ac:dyDescent="0.45">
      <c r="B9" s="209" t="s">
        <v>187</v>
      </c>
      <c r="C9" s="33">
        <f>SUM('troupeaux laitier '!C14,'troupeaux laitier '!C18,'troupeaux laitier '!C20,Tableau7[[#This Row],[Nbre d''animaux]],'Troupeau viandeux'!C14,'Troupeau viandeux'!C18,'Troupeau viandeux'!C20,'Troupeau viandeux'!C34,'Troupeau viandeux'!C39,'Troupeau viandeux'!C43,'Troupeau viandeux'!C45)</f>
        <v>0</v>
      </c>
      <c r="D9" s="33">
        <v>0.6</v>
      </c>
      <c r="E9" s="216">
        <f t="shared" si="0"/>
        <v>0</v>
      </c>
    </row>
    <row r="10" spans="2:5" ht="18.5" x14ac:dyDescent="0.45">
      <c r="B10" s="209" t="s">
        <v>186</v>
      </c>
      <c r="C10" s="33">
        <f>SUM('troupeaux laitier '!C16,'troupeaux laitier '!C21,'Troupeau viandeux'!C15,'Troupeau viandeux'!C16,'Troupeau viandeux'!C17,'Troupeau viandeux'!C21,'Troupeau viandeux'!C22,'Troupeau viandeux'!C23,'Troupeau viandeux'!C40,'Troupeau viandeux'!C41,'Troupeau viandeux'!C42,'Troupeau viandeux'!C46,'Troupeau viandeux'!C47,'Troupeau viandeux'!C48)</f>
        <v>0</v>
      </c>
      <c r="D10" s="33">
        <v>1</v>
      </c>
      <c r="E10" s="216">
        <f t="shared" si="0"/>
        <v>0</v>
      </c>
    </row>
    <row r="11" spans="2:5" ht="18.5" x14ac:dyDescent="0.45">
      <c r="B11" s="209" t="s">
        <v>185</v>
      </c>
      <c r="C11" s="33">
        <f>SUM('troupeaux laitier '!C15,'Troupeau viandeux'!C10,'Troupeau viandeux'!C35)</f>
        <v>0</v>
      </c>
      <c r="D11" s="33">
        <v>0.8</v>
      </c>
      <c r="E11" s="216">
        <f t="shared" si="0"/>
        <v>0</v>
      </c>
    </row>
    <row r="12" spans="2:5" ht="19" thickBot="1" x14ac:dyDescent="0.5">
      <c r="B12" s="211" t="s">
        <v>335</v>
      </c>
      <c r="C12" s="212">
        <f>SUM('Troupeau viandeux'!C11,Tableau7[[#This Row],[Nbre d''animaux]],'Troupeau viandeux'!C36,'Troupeau viandeux'!C37)</f>
        <v>0</v>
      </c>
      <c r="D12" s="212">
        <v>0.8</v>
      </c>
      <c r="E12" s="216">
        <f t="shared" si="0"/>
        <v>0</v>
      </c>
    </row>
    <row r="13" spans="2:5" ht="21.5" thickBot="1" x14ac:dyDescent="0.55000000000000004">
      <c r="B13" s="125" t="s">
        <v>5</v>
      </c>
      <c r="C13" s="213">
        <f>SUM(C6:C12)</f>
        <v>0</v>
      </c>
      <c r="D13" s="55"/>
      <c r="E13" s="214">
        <f>SUM(E6:E12)</f>
        <v>0</v>
      </c>
    </row>
    <row r="15" spans="2:5" ht="15" thickBot="1" x14ac:dyDescent="0.4"/>
    <row r="16" spans="2:5" ht="21.5" thickBot="1" x14ac:dyDescent="0.55000000000000004">
      <c r="B16" s="217" t="s">
        <v>336</v>
      </c>
      <c r="C16" s="218" t="str">
        <f>IF('Assolement '!D11=0,"",E13/'Assolement '!D11)</f>
        <v/>
      </c>
    </row>
    <row r="17" spans="2:3" ht="15" thickBot="1" x14ac:dyDescent="0.4"/>
    <row r="18" spans="2:3" ht="21.5" thickBot="1" x14ac:dyDescent="0.55000000000000004">
      <c r="B18" s="217" t="s">
        <v>188</v>
      </c>
      <c r="C18" s="218" t="str">
        <f>IF(SUM('Assolement '!D5,'Assolement '!D6)=0,"",'taux de chargement'!E13/SUM('Assolement '!D5,'Assolement '!D6))</f>
        <v/>
      </c>
    </row>
    <row r="19" spans="2:3" ht="15" thickBot="1" x14ac:dyDescent="0.4"/>
    <row r="20" spans="2:3" ht="21.5" thickBot="1" x14ac:dyDescent="0.55000000000000004">
      <c r="B20" s="217" t="s">
        <v>189</v>
      </c>
      <c r="C20" s="218" t="str">
        <f>IF('Assolement '!D5=0,"",'taux de chargement'!E13/'Assolement '!D5)</f>
        <v/>
      </c>
    </row>
    <row r="21" spans="2:3" ht="15" thickBot="1" x14ac:dyDescent="0.4"/>
    <row r="22" spans="2:3" ht="21.5" thickBot="1" x14ac:dyDescent="0.55000000000000004">
      <c r="B22" s="217" t="s">
        <v>190</v>
      </c>
      <c r="C22" s="218" t="str">
        <f>IF('Assolement '!D6=0,"",'taux de chargement'!E13/'Assolement '!D6)</f>
        <v/>
      </c>
    </row>
  </sheetData>
  <sheetProtection sheet="1" formatColumns="0" selectLockedCells="1"/>
  <mergeCells count="1">
    <mergeCell ref="B1:E1"/>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theme="7"/>
  </sheetPr>
  <dimension ref="B1:K41"/>
  <sheetViews>
    <sheetView zoomScale="70" zoomScaleNormal="70" workbookViewId="0">
      <selection activeCell="B6" sqref="B6"/>
    </sheetView>
  </sheetViews>
  <sheetFormatPr baseColWidth="10" defaultRowHeight="14.5" x14ac:dyDescent="0.35"/>
  <cols>
    <col min="2" max="2" width="25.453125" bestFit="1" customWidth="1"/>
    <col min="3" max="3" width="22.453125" customWidth="1"/>
    <col min="4" max="4" width="20.54296875" customWidth="1"/>
    <col min="5" max="5" width="23.81640625" customWidth="1"/>
    <col min="6" max="6" width="44" customWidth="1"/>
    <col min="7" max="7" width="42" customWidth="1"/>
    <col min="8" max="8" width="41.453125" bestFit="1" customWidth="1"/>
    <col min="9" max="9" width="37.81640625" bestFit="1" customWidth="1"/>
    <col min="10" max="11" width="31.26953125" bestFit="1" customWidth="1"/>
  </cols>
  <sheetData>
    <row r="1" spans="2:11" ht="26.5" thickBot="1" x14ac:dyDescent="0.65">
      <c r="B1" s="562" t="s">
        <v>165</v>
      </c>
      <c r="C1" s="578"/>
      <c r="D1" s="578"/>
      <c r="E1" s="578"/>
      <c r="F1" s="578"/>
      <c r="G1" s="578"/>
      <c r="H1" s="579"/>
    </row>
    <row r="3" spans="2:11" s="14" customFormat="1" x14ac:dyDescent="0.35"/>
    <row r="4" spans="2:11" s="14" customFormat="1" ht="15" thickBot="1" x14ac:dyDescent="0.4"/>
    <row r="5" spans="2:11" s="14" customFormat="1" ht="26.5" thickBot="1" x14ac:dyDescent="0.65">
      <c r="B5" s="90" t="s">
        <v>58</v>
      </c>
      <c r="C5" s="91" t="s">
        <v>60</v>
      </c>
      <c r="D5" s="91" t="s">
        <v>67</v>
      </c>
      <c r="E5" s="290" t="s">
        <v>64</v>
      </c>
      <c r="F5" s="92" t="s">
        <v>65</v>
      </c>
      <c r="G5" s="513" t="s">
        <v>358</v>
      </c>
      <c r="H5" s="92" t="s">
        <v>66</v>
      </c>
      <c r="I5" s="519" t="s">
        <v>359</v>
      </c>
      <c r="J5" s="93" t="s">
        <v>314</v>
      </c>
      <c r="K5" s="361" t="s">
        <v>315</v>
      </c>
    </row>
    <row r="6" spans="2:11" s="14" customFormat="1" ht="18.5" x14ac:dyDescent="0.45">
      <c r="B6" s="300"/>
      <c r="C6" s="301"/>
      <c r="D6" s="278"/>
      <c r="E6" s="126">
        <f>Tableau510111215[[#This Row],[Quantités (T)]]*Tableau510111215[[#This Row],[% MS]]</f>
        <v>0</v>
      </c>
      <c r="F6" s="490"/>
      <c r="G6" s="510">
        <f>Tableau510111215[[#This Row],[ T de MS]]*Tableau510111215[[#This Row],[VEM/T de MS]]</f>
        <v>0</v>
      </c>
      <c r="H6" s="491"/>
      <c r="I6" s="520">
        <f>Tableau510111215[[#This Row],[Kg de DVE/T de MS]]*Tableau510111215[[#This Row],[ T de MS]]</f>
        <v>0</v>
      </c>
      <c r="J6" s="355"/>
      <c r="K6" s="359">
        <f>$C6*$J6</f>
        <v>0</v>
      </c>
    </row>
    <row r="7" spans="2:11" s="14" customFormat="1" ht="18.5" x14ac:dyDescent="0.45">
      <c r="B7" s="302"/>
      <c r="C7" s="279"/>
      <c r="D7" s="280"/>
      <c r="E7" s="126">
        <f>Tableau510111215[[#This Row],[Quantités (T)]]*Tableau510111215[[#This Row],[% MS]]</f>
        <v>0</v>
      </c>
      <c r="F7" s="281"/>
      <c r="G7" s="511">
        <f>Tableau510111215[[#This Row],[ T de MS]]*Tableau510111215[[#This Row],[VEM/T de MS]]</f>
        <v>0</v>
      </c>
      <c r="H7" s="282"/>
      <c r="I7" s="521">
        <f>Tableau510111215[[#This Row],[Kg de DVE/T de MS]]*Tableau510111215[[#This Row],[ T de MS]]</f>
        <v>0</v>
      </c>
      <c r="J7" s="307"/>
      <c r="K7" s="359">
        <f>$C7*$J7</f>
        <v>0</v>
      </c>
    </row>
    <row r="8" spans="2:11" s="14" customFormat="1" ht="18.5" x14ac:dyDescent="0.45">
      <c r="B8" s="302"/>
      <c r="C8" s="279"/>
      <c r="D8" s="280"/>
      <c r="E8" s="126">
        <f>Tableau510111215[[#This Row],[Quantités (T)]]*Tableau510111215[[#This Row],[% MS]]</f>
        <v>0</v>
      </c>
      <c r="F8" s="281"/>
      <c r="G8" s="511">
        <f>Tableau510111215[[#This Row],[ T de MS]]*Tableau510111215[[#This Row],[VEM/T de MS]]</f>
        <v>0</v>
      </c>
      <c r="H8" s="282"/>
      <c r="I8" s="521">
        <f>Tableau510111215[[#This Row],[Kg de DVE/T de MS]]*Tableau510111215[[#This Row],[ T de MS]]</f>
        <v>0</v>
      </c>
      <c r="J8" s="307"/>
      <c r="K8" s="359">
        <f>$C8*$J8</f>
        <v>0</v>
      </c>
    </row>
    <row r="9" spans="2:11" s="14" customFormat="1" ht="19" thickBot="1" x14ac:dyDescent="0.5">
      <c r="B9" s="303"/>
      <c r="C9" s="304"/>
      <c r="D9" s="305"/>
      <c r="E9" s="126">
        <f>Tableau510111215[[#This Row],[Quantités (T)]]*Tableau510111215[[#This Row],[% MS]]</f>
        <v>0</v>
      </c>
      <c r="F9" s="495"/>
      <c r="G9" s="512">
        <f>Tableau510111215[[#This Row],[ T de MS]]*Tableau510111215[[#This Row],[VEM/T de MS]]</f>
        <v>0</v>
      </c>
      <c r="H9" s="503"/>
      <c r="I9" s="522">
        <f>Tableau510111215[[#This Row],[Kg de DVE/T de MS]]*Tableau510111215[[#This Row],[ T de MS]]</f>
        <v>0</v>
      </c>
      <c r="J9" s="356"/>
      <c r="K9" s="359">
        <f>$C9*$J9</f>
        <v>0</v>
      </c>
    </row>
    <row r="10" spans="2:11" s="14" customFormat="1" ht="26.5" thickBot="1" x14ac:dyDescent="0.65">
      <c r="B10" s="293" t="s">
        <v>5</v>
      </c>
      <c r="C10" s="294">
        <f>SUM(C6:C9)</f>
        <v>0</v>
      </c>
      <c r="D10" s="294"/>
      <c r="E10" s="295">
        <f>SUM(E6:E9)</f>
        <v>0</v>
      </c>
      <c r="F10" s="296"/>
      <c r="G10" s="514">
        <f t="shared" ref="G10" si="0">SUM(G6:G9)</f>
        <v>0</v>
      </c>
      <c r="H10" s="502"/>
      <c r="I10" s="523">
        <f>SUM(I6:I9)</f>
        <v>0</v>
      </c>
      <c r="J10" s="354"/>
      <c r="K10" s="360">
        <f t="shared" ref="K10" si="1">SUM(K6,K7,K8,K9,)</f>
        <v>0</v>
      </c>
    </row>
    <row r="11" spans="2:11" x14ac:dyDescent="0.35">
      <c r="G11" s="515"/>
      <c r="I11" s="515"/>
    </row>
    <row r="12" spans="2:11" ht="15" thickBot="1" x14ac:dyDescent="0.4">
      <c r="G12" s="515"/>
      <c r="I12" s="515"/>
    </row>
    <row r="13" spans="2:11" ht="26.5" thickBot="1" x14ac:dyDescent="0.65">
      <c r="B13" s="90" t="s">
        <v>59</v>
      </c>
      <c r="C13" s="91" t="s">
        <v>60</v>
      </c>
      <c r="D13" s="291" t="s">
        <v>67</v>
      </c>
      <c r="E13" s="206" t="s">
        <v>64</v>
      </c>
      <c r="F13" s="91" t="s">
        <v>65</v>
      </c>
      <c r="G13" s="516" t="s">
        <v>358</v>
      </c>
      <c r="H13" s="92" t="s">
        <v>66</v>
      </c>
      <c r="I13" s="519" t="s">
        <v>359</v>
      </c>
      <c r="J13" s="93" t="s">
        <v>314</v>
      </c>
      <c r="K13" s="361" t="s">
        <v>315</v>
      </c>
    </row>
    <row r="14" spans="2:11" ht="18.5" x14ac:dyDescent="0.45">
      <c r="B14" s="186" t="s">
        <v>3</v>
      </c>
      <c r="C14" s="301"/>
      <c r="D14" s="278"/>
      <c r="E14" s="188">
        <f>Tableau51011[[#This Row],[Quantités (T)]]*Tableau51011[[#This Row],[% MS]]</f>
        <v>0</v>
      </c>
      <c r="F14" s="490"/>
      <c r="G14" s="510">
        <f>Tableau51011[[#This Row],[VEM/T de MS]]*Tableau51011[[#This Row],[ T de MS]]</f>
        <v>0</v>
      </c>
      <c r="H14" s="491"/>
      <c r="I14" s="520">
        <f>Tableau51011[[#This Row],[Kg de DVE/T de MS]]*Tableau51011[[#This Row],[ T de MS]]</f>
        <v>0</v>
      </c>
      <c r="J14" s="355"/>
      <c r="K14" s="359">
        <f>$C14*$J14</f>
        <v>0</v>
      </c>
    </row>
    <row r="15" spans="2:11" ht="18.5" x14ac:dyDescent="0.45">
      <c r="B15" s="151" t="s">
        <v>162</v>
      </c>
      <c r="C15" s="279"/>
      <c r="D15" s="260"/>
      <c r="E15" s="188">
        <f>Tableau51011[[#This Row],[Quantités (T)]]*Tableau51011[[#This Row],[% MS]]</f>
        <v>0</v>
      </c>
      <c r="F15" s="281"/>
      <c r="G15" s="511">
        <f>Tableau51011[[#This Row],[VEM/T de MS]]*Tableau51011[[#This Row],[ T de MS]]</f>
        <v>0</v>
      </c>
      <c r="H15" s="282"/>
      <c r="I15" s="521">
        <f>Tableau51011[[#This Row],[Kg de DVE/T de MS]]*Tableau51011[[#This Row],[ T de MS]]</f>
        <v>0</v>
      </c>
      <c r="J15" s="307"/>
      <c r="K15" s="359">
        <f>$C15*$J15</f>
        <v>0</v>
      </c>
    </row>
    <row r="16" spans="2:11" ht="19" thickBot="1" x14ac:dyDescent="0.5">
      <c r="B16" s="292" t="s">
        <v>163</v>
      </c>
      <c r="C16" s="304"/>
      <c r="D16" s="305"/>
      <c r="E16" s="188">
        <f>Tableau51011[[#This Row],[Quantités (T)]]*Tableau51011[[#This Row],[% MS]]</f>
        <v>0</v>
      </c>
      <c r="F16" s="495"/>
      <c r="G16" s="512">
        <f>Tableau51011[[#This Row],[VEM/T de MS]]*Tableau51011[[#This Row],[ T de MS]]</f>
        <v>0</v>
      </c>
      <c r="H16" s="503"/>
      <c r="I16" s="522">
        <f>Tableau51011[[#This Row],[Kg de DVE/T de MS]]*Tableau51011[[#This Row],[ T de MS]]</f>
        <v>0</v>
      </c>
      <c r="J16" s="356"/>
      <c r="K16" s="359">
        <f>$C16*$J16</f>
        <v>0</v>
      </c>
    </row>
    <row r="17" spans="2:11" ht="26.5" thickBot="1" x14ac:dyDescent="0.65">
      <c r="B17" s="293" t="s">
        <v>5</v>
      </c>
      <c r="C17" s="294">
        <f t="shared" ref="C17" si="2">SUM(C14:C16)</f>
        <v>0</v>
      </c>
      <c r="D17" s="294"/>
      <c r="E17" s="295">
        <f>SUM(E14:E16)</f>
        <v>0</v>
      </c>
      <c r="F17" s="296"/>
      <c r="G17" s="514">
        <f>SUM(G14:G16)</f>
        <v>0</v>
      </c>
      <c r="H17" s="297"/>
      <c r="I17" s="523">
        <f>SUM(I14:I16)</f>
        <v>0</v>
      </c>
      <c r="J17" s="298"/>
      <c r="K17" s="360">
        <f t="shared" ref="K17" si="3">SUM(K14,K15,K16)</f>
        <v>0</v>
      </c>
    </row>
    <row r="18" spans="2:11" x14ac:dyDescent="0.35">
      <c r="G18" s="515"/>
      <c r="I18" s="515"/>
    </row>
    <row r="19" spans="2:11" ht="15" thickBot="1" x14ac:dyDescent="0.4">
      <c r="G19" s="515"/>
      <c r="I19" s="515"/>
    </row>
    <row r="20" spans="2:11" ht="26.5" thickBot="1" x14ac:dyDescent="0.65">
      <c r="B20" s="90" t="s">
        <v>4</v>
      </c>
      <c r="C20" s="91" t="s">
        <v>60</v>
      </c>
      <c r="D20" s="91" t="s">
        <v>67</v>
      </c>
      <c r="E20" s="290" t="s">
        <v>64</v>
      </c>
      <c r="F20" s="92" t="s">
        <v>65</v>
      </c>
      <c r="G20" s="513" t="s">
        <v>358</v>
      </c>
      <c r="H20" s="92" t="s">
        <v>66</v>
      </c>
      <c r="I20" s="519" t="s">
        <v>359</v>
      </c>
      <c r="J20" s="93" t="s">
        <v>314</v>
      </c>
      <c r="K20" s="361" t="s">
        <v>315</v>
      </c>
    </row>
    <row r="21" spans="2:11" ht="18.5" x14ac:dyDescent="0.45">
      <c r="B21" s="300"/>
      <c r="C21" s="301"/>
      <c r="D21" s="278"/>
      <c r="E21" s="126">
        <f>Tableau5101112[[#This Row],[Quantités (T)]]*Tableau5101112[[#This Row],[% MS]]</f>
        <v>0</v>
      </c>
      <c r="F21" s="490"/>
      <c r="G21" s="510">
        <f>Tableau5101112[[#This Row],[ T de MS]]*Tableau5101112[[#This Row],[VEM/T de MS]]</f>
        <v>0</v>
      </c>
      <c r="H21" s="491"/>
      <c r="I21" s="520">
        <f>Tableau5101112[[#This Row],[ T de MS]]*Tableau5101112[[#This Row],[Kg de DVE/T de MS]]</f>
        <v>0</v>
      </c>
      <c r="J21" s="355"/>
      <c r="K21" s="359">
        <f>$C21*$J21</f>
        <v>0</v>
      </c>
    </row>
    <row r="22" spans="2:11" ht="18.5" x14ac:dyDescent="0.45">
      <c r="B22" s="302"/>
      <c r="C22" s="279"/>
      <c r="D22" s="280"/>
      <c r="E22" s="126">
        <f>Tableau5101112[[#This Row],[Quantités (T)]]*Tableau5101112[[#This Row],[% MS]]</f>
        <v>0</v>
      </c>
      <c r="F22" s="281"/>
      <c r="G22" s="511">
        <f>Tableau5101112[[#This Row],[ T de MS]]*Tableau5101112[[#This Row],[VEM/T de MS]]</f>
        <v>0</v>
      </c>
      <c r="H22" s="282"/>
      <c r="I22" s="521">
        <f>Tableau5101112[[#This Row],[ T de MS]]*Tableau5101112[[#This Row],[Kg de DVE/T de MS]]</f>
        <v>0</v>
      </c>
      <c r="J22" s="307"/>
      <c r="K22" s="359">
        <f>$C22*$J22</f>
        <v>0</v>
      </c>
    </row>
    <row r="23" spans="2:11" ht="18.5" x14ac:dyDescent="0.45">
      <c r="B23" s="302"/>
      <c r="C23" s="279"/>
      <c r="D23" s="280"/>
      <c r="E23" s="126">
        <f>Tableau5101112[[#This Row],[Quantités (T)]]*Tableau5101112[[#This Row],[% MS]]</f>
        <v>0</v>
      </c>
      <c r="F23" s="281"/>
      <c r="G23" s="511">
        <f>Tableau5101112[[#This Row],[ T de MS]]*Tableau5101112[[#This Row],[VEM/T de MS]]</f>
        <v>0</v>
      </c>
      <c r="H23" s="282"/>
      <c r="I23" s="521">
        <f>Tableau5101112[[#This Row],[ T de MS]]*Tableau5101112[[#This Row],[Kg de DVE/T de MS]]</f>
        <v>0</v>
      </c>
      <c r="J23" s="307"/>
      <c r="K23" s="359">
        <f>$C23*$J23</f>
        <v>0</v>
      </c>
    </row>
    <row r="24" spans="2:11" ht="19" thickBot="1" x14ac:dyDescent="0.5">
      <c r="B24" s="303"/>
      <c r="C24" s="304"/>
      <c r="D24" s="305"/>
      <c r="E24" s="126">
        <f>Tableau5101112[[#This Row],[Quantités (T)]]*Tableau5101112[[#This Row],[% MS]]</f>
        <v>0</v>
      </c>
      <c r="F24" s="495"/>
      <c r="G24" s="512">
        <f>Tableau5101112[[#This Row],[ T de MS]]*Tableau5101112[[#This Row],[VEM/T de MS]]</f>
        <v>0</v>
      </c>
      <c r="H24" s="503"/>
      <c r="I24" s="522">
        <f>Tableau5101112[[#This Row],[ T de MS]]*Tableau5101112[[#This Row],[Kg de DVE/T de MS]]</f>
        <v>0</v>
      </c>
      <c r="J24" s="356"/>
      <c r="K24" s="359">
        <f>$C24*$J24</f>
        <v>0</v>
      </c>
    </row>
    <row r="25" spans="2:11" ht="26.5" thickBot="1" x14ac:dyDescent="0.65">
      <c r="B25" s="293" t="s">
        <v>5</v>
      </c>
      <c r="C25" s="294">
        <f>SUM(C21:C24)</f>
        <v>0</v>
      </c>
      <c r="D25" s="294"/>
      <c r="E25" s="295">
        <f>SUM(E21:E24)</f>
        <v>0</v>
      </c>
      <c r="F25" s="296"/>
      <c r="G25" s="514">
        <f t="shared" ref="G25" si="4">SUM(G21:G24)</f>
        <v>0</v>
      </c>
      <c r="H25" s="297"/>
      <c r="I25" s="523">
        <f>SUM(I21:I24)</f>
        <v>0</v>
      </c>
      <c r="J25" s="298"/>
      <c r="K25" s="360">
        <f t="shared" ref="K25" si="5">SUM(K21:K24)</f>
        <v>0</v>
      </c>
    </row>
    <row r="26" spans="2:11" x14ac:dyDescent="0.35">
      <c r="G26" s="515"/>
      <c r="I26" s="515"/>
    </row>
    <row r="27" spans="2:11" ht="15" thickBot="1" x14ac:dyDescent="0.4">
      <c r="G27" s="515"/>
      <c r="I27" s="515"/>
    </row>
    <row r="28" spans="2:11" ht="26.5" thickBot="1" x14ac:dyDescent="0.65">
      <c r="B28" s="90" t="s">
        <v>148</v>
      </c>
      <c r="C28" s="299" t="s">
        <v>60</v>
      </c>
      <c r="D28" s="91" t="s">
        <v>67</v>
      </c>
      <c r="E28" s="92" t="s">
        <v>64</v>
      </c>
      <c r="F28" s="92" t="s">
        <v>65</v>
      </c>
      <c r="G28" s="513" t="s">
        <v>358</v>
      </c>
      <c r="H28" s="92" t="s">
        <v>66</v>
      </c>
      <c r="I28" s="519" t="s">
        <v>359</v>
      </c>
      <c r="J28" s="93" t="s">
        <v>314</v>
      </c>
      <c r="K28" s="361" t="s">
        <v>315</v>
      </c>
    </row>
    <row r="29" spans="2:11" ht="18.5" x14ac:dyDescent="0.45">
      <c r="B29" s="309"/>
      <c r="C29" s="310"/>
      <c r="D29" s="278"/>
      <c r="E29" s="187">
        <f>Tableau5101113[[#This Row],[Quantités (T)]]*Tableau5101113[[#This Row],[% MS]]</f>
        <v>0</v>
      </c>
      <c r="F29" s="504"/>
      <c r="G29" s="510">
        <f>Tableau5101113[[#This Row],[VEM/T de MS]]*Tableau5101113[[#This Row],[ T de MS]]</f>
        <v>0</v>
      </c>
      <c r="H29" s="508"/>
      <c r="I29" s="520">
        <f>Tableau5101113[[#This Row],[Kg de DVE/T de MS]]*Tableau5101113[[#This Row],[ T de MS]]</f>
        <v>0</v>
      </c>
      <c r="J29" s="306"/>
      <c r="K29" s="359">
        <f>$C29*$J29</f>
        <v>0</v>
      </c>
    </row>
    <row r="30" spans="2:11" ht="18.5" x14ac:dyDescent="0.45">
      <c r="B30" s="311"/>
      <c r="C30" s="312"/>
      <c r="D30" s="313"/>
      <c r="E30" s="126">
        <f>Tableau5101113[[#This Row],[Quantités (T)]]*Tableau5101113[[#This Row],[% MS]]</f>
        <v>0</v>
      </c>
      <c r="F30" s="281"/>
      <c r="G30" s="511">
        <f>Tableau5101113[[#This Row],[VEM/T de MS]]*Tableau5101113[[#This Row],[ T de MS]]</f>
        <v>0</v>
      </c>
      <c r="H30" s="282"/>
      <c r="I30" s="521">
        <f>Tableau5101113[[#This Row],[Kg de DVE/T de MS]]*Tableau5101113[[#This Row],[ T de MS]]</f>
        <v>0</v>
      </c>
      <c r="J30" s="307"/>
      <c r="K30" s="359">
        <f>$C30*$J30</f>
        <v>0</v>
      </c>
    </row>
    <row r="31" spans="2:11" ht="18.5" x14ac:dyDescent="0.45">
      <c r="B31" s="311"/>
      <c r="C31" s="312"/>
      <c r="D31" s="313"/>
      <c r="E31" s="126">
        <f>Tableau5101113[[#This Row],[Quantités (T)]]*Tableau5101113[[#This Row],[% MS]]</f>
        <v>0</v>
      </c>
      <c r="F31" s="281"/>
      <c r="G31" s="511">
        <f>Tableau5101113[[#This Row],[VEM/T de MS]]*Tableau5101113[[#This Row],[ T de MS]]</f>
        <v>0</v>
      </c>
      <c r="H31" s="282"/>
      <c r="I31" s="521">
        <f>Tableau5101113[[#This Row],[Kg de DVE/T de MS]]*Tableau5101113[[#This Row],[ T de MS]]</f>
        <v>0</v>
      </c>
      <c r="J31" s="307"/>
      <c r="K31" s="359">
        <f>$C31*$J31</f>
        <v>0</v>
      </c>
    </row>
    <row r="32" spans="2:11" ht="18.5" x14ac:dyDescent="0.45">
      <c r="B32" s="314"/>
      <c r="C32" s="312"/>
      <c r="D32" s="280"/>
      <c r="E32" s="126">
        <f>Tableau5101113[[#This Row],[Quantités (T)]]*Tableau5101113[[#This Row],[% MS]]</f>
        <v>0</v>
      </c>
      <c r="F32" s="281"/>
      <c r="G32" s="511">
        <f>Tableau5101113[[#This Row],[VEM/T de MS]]*Tableau5101113[[#This Row],[ T de MS]]</f>
        <v>0</v>
      </c>
      <c r="H32" s="282"/>
      <c r="I32" s="521">
        <f>Tableau5101113[[#This Row],[Kg de DVE/T de MS]]*Tableau5101113[[#This Row],[ T de MS]]</f>
        <v>0</v>
      </c>
      <c r="J32" s="307"/>
      <c r="K32" s="359">
        <f>$C32*$J32</f>
        <v>0</v>
      </c>
    </row>
    <row r="33" spans="2:11" ht="19" thickBot="1" x14ac:dyDescent="0.5">
      <c r="B33" s="315"/>
      <c r="C33" s="316"/>
      <c r="D33" s="305"/>
      <c r="E33" s="207">
        <f>Tableau5101113[[#This Row],[Quantités (T)]]*Tableau5101113[[#This Row],[% MS]]</f>
        <v>0</v>
      </c>
      <c r="F33" s="505"/>
      <c r="G33" s="517">
        <f>Tableau5101113[[#This Row],[VEM/T de MS]]*Tableau5101113[[#This Row],[ T de MS]]</f>
        <v>0</v>
      </c>
      <c r="H33" s="509"/>
      <c r="I33" s="524">
        <f>Tableau5101113[[#This Row],[Kg de DVE/T de MS]]*Tableau5101113[[#This Row],[ T de MS]]</f>
        <v>0</v>
      </c>
      <c r="J33" s="308"/>
      <c r="K33" s="359">
        <f>$C33*$J33</f>
        <v>0</v>
      </c>
    </row>
    <row r="34" spans="2:11" ht="26.5" thickBot="1" x14ac:dyDescent="0.65">
      <c r="B34" s="293" t="s">
        <v>5</v>
      </c>
      <c r="C34" s="294">
        <f t="shared" ref="C34" si="6">SUM(C29:C33)</f>
        <v>0</v>
      </c>
      <c r="D34" s="294"/>
      <c r="E34" s="295">
        <f>SUM(E29:E33)</f>
        <v>0</v>
      </c>
      <c r="F34" s="296"/>
      <c r="G34" s="514">
        <f t="shared" ref="G34:I34" si="7">SUM(G29:G33)</f>
        <v>0</v>
      </c>
      <c r="H34" s="296"/>
      <c r="I34" s="523">
        <f t="shared" si="7"/>
        <v>0</v>
      </c>
      <c r="J34" s="298"/>
      <c r="K34" s="360">
        <f t="shared" ref="K34" si="8">SUM(K29:K33)</f>
        <v>0</v>
      </c>
    </row>
    <row r="35" spans="2:11" x14ac:dyDescent="0.35">
      <c r="G35" s="515"/>
      <c r="I35" s="515"/>
    </row>
    <row r="36" spans="2:11" ht="15" thickBot="1" x14ac:dyDescent="0.4">
      <c r="G36" s="515"/>
      <c r="I36" s="515"/>
    </row>
    <row r="37" spans="2:11" ht="52.5" thickBot="1" x14ac:dyDescent="0.65">
      <c r="B37" s="189" t="s">
        <v>164</v>
      </c>
      <c r="C37" s="320" t="s">
        <v>60</v>
      </c>
      <c r="D37" s="320" t="s">
        <v>67</v>
      </c>
      <c r="E37" s="321" t="s">
        <v>64</v>
      </c>
      <c r="F37" s="321" t="s">
        <v>65</v>
      </c>
      <c r="G37" s="518" t="s">
        <v>358</v>
      </c>
      <c r="H37" s="321" t="s">
        <v>66</v>
      </c>
      <c r="I37" s="525" t="s">
        <v>359</v>
      </c>
      <c r="J37" s="322" t="s">
        <v>314</v>
      </c>
      <c r="K37" s="358" t="s">
        <v>315</v>
      </c>
    </row>
    <row r="38" spans="2:11" ht="18.5" x14ac:dyDescent="0.45">
      <c r="B38" s="317"/>
      <c r="C38" s="301"/>
      <c r="D38" s="278"/>
      <c r="E38" s="187">
        <f>Tableau510111314[[#This Row],[Quantités (T)]]*Tableau510111314[[#This Row],[% MS]]</f>
        <v>0</v>
      </c>
      <c r="F38" s="490"/>
      <c r="G38" s="510">
        <f>Tableau510111314[[#This Row],[VEM/T de MS]]*Tableau510111314[[#This Row],[ T de MS]]</f>
        <v>0</v>
      </c>
      <c r="H38" s="491"/>
      <c r="I38" s="520">
        <f>Tableau510111314[[#This Row],[Kg de DVE/T de MS]]*Tableau510111314[[#This Row],[ T de MS]]</f>
        <v>0</v>
      </c>
      <c r="J38" s="355"/>
      <c r="K38" s="359">
        <f>$C38*$J38</f>
        <v>0</v>
      </c>
    </row>
    <row r="39" spans="2:11" ht="18.5" x14ac:dyDescent="0.45">
      <c r="B39" s="318"/>
      <c r="C39" s="279"/>
      <c r="D39" s="280"/>
      <c r="E39" s="126">
        <f>Tableau510111314[[#This Row],[Quantités (T)]]*Tableau510111314[[#This Row],[% MS]]</f>
        <v>0</v>
      </c>
      <c r="F39" s="281"/>
      <c r="G39" s="511">
        <f>Tableau510111314[[#This Row],[VEM/T de MS]]*Tableau510111314[[#This Row],[ T de MS]]</f>
        <v>0</v>
      </c>
      <c r="H39" s="282"/>
      <c r="I39" s="521">
        <f>Tableau510111314[[#This Row],[Kg de DVE/T de MS]]*Tableau510111314[[#This Row],[ T de MS]]</f>
        <v>0</v>
      </c>
      <c r="J39" s="307"/>
      <c r="K39" s="359">
        <f>$C39*$J39</f>
        <v>0</v>
      </c>
    </row>
    <row r="40" spans="2:11" ht="19" thickBot="1" x14ac:dyDescent="0.5">
      <c r="B40" s="319"/>
      <c r="C40" s="304"/>
      <c r="D40" s="305"/>
      <c r="E40" s="207">
        <f>Tableau510111314[[#This Row],[Quantités (T)]]*Tableau510111314[[#This Row],[% MS]]</f>
        <v>0</v>
      </c>
      <c r="F40" s="495"/>
      <c r="G40" s="512">
        <f>Tableau510111314[[#This Row],[VEM/T de MS]]*Tableau510111314[[#This Row],[ T de MS]]</f>
        <v>0</v>
      </c>
      <c r="H40" s="503"/>
      <c r="I40" s="522">
        <f>Tableau510111314[[#This Row],[Kg de DVE/T de MS]]*Tableau510111314[[#This Row],[ T de MS]]</f>
        <v>0</v>
      </c>
      <c r="J40" s="356"/>
      <c r="K40" s="359">
        <f>$C40*$J40</f>
        <v>0</v>
      </c>
    </row>
    <row r="41" spans="2:11" ht="26.5" thickBot="1" x14ac:dyDescent="0.65">
      <c r="B41" s="293" t="s">
        <v>5</v>
      </c>
      <c r="C41" s="294">
        <f t="shared" ref="C41" si="9">SUM(C38:C40)</f>
        <v>0</v>
      </c>
      <c r="D41" s="294"/>
      <c r="E41" s="295">
        <f>SUM(E38:E40)</f>
        <v>0</v>
      </c>
      <c r="F41" s="296"/>
      <c r="G41" s="514">
        <f t="shared" ref="G41" si="10">SUM(G38:G40)</f>
        <v>0</v>
      </c>
      <c r="H41" s="297"/>
      <c r="I41" s="523">
        <f t="shared" ref="I41" si="11">SUM(I38:I40)</f>
        <v>0</v>
      </c>
      <c r="J41" s="298"/>
      <c r="K41" s="360">
        <f t="shared" ref="K41" si="12">SUM(K38:K40)</f>
        <v>0</v>
      </c>
    </row>
  </sheetData>
  <sheetProtection sheet="1" objects="1" scenarios="1" formatColumns="0" selectLockedCells="1"/>
  <mergeCells count="1">
    <mergeCell ref="B1:H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4"/>
  </sheetPr>
  <dimension ref="B1:I18"/>
  <sheetViews>
    <sheetView zoomScale="40" zoomScaleNormal="40" workbookViewId="0">
      <selection activeCell="C22" sqref="C22"/>
    </sheetView>
  </sheetViews>
  <sheetFormatPr baseColWidth="10" defaultRowHeight="14.5" x14ac:dyDescent="0.35"/>
  <cols>
    <col min="1" max="1" width="3.453125" customWidth="1"/>
    <col min="2" max="2" width="51.54296875" customWidth="1"/>
    <col min="3" max="3" width="33.453125" bestFit="1" customWidth="1"/>
    <col min="4" max="4" width="35.81640625" style="14" customWidth="1"/>
    <col min="5" max="5" width="43.26953125" customWidth="1"/>
    <col min="6" max="6" width="45.26953125" bestFit="1" customWidth="1"/>
    <col min="7" max="7" width="51.7265625" customWidth="1"/>
    <col min="8" max="8" width="26.54296875" customWidth="1"/>
  </cols>
  <sheetData>
    <row r="1" spans="2:9" ht="36.65" customHeight="1" thickBot="1" x14ac:dyDescent="0.65">
      <c r="B1" s="562" t="s">
        <v>166</v>
      </c>
      <c r="C1" s="578"/>
      <c r="D1" s="578"/>
      <c r="E1" s="578"/>
      <c r="F1" s="578"/>
      <c r="G1" s="579"/>
      <c r="H1" s="392"/>
      <c r="I1" s="21"/>
    </row>
    <row r="2" spans="2:9" ht="15" customHeight="1" x14ac:dyDescent="0.6">
      <c r="B2" s="392"/>
      <c r="C2" s="392"/>
      <c r="D2" s="392"/>
      <c r="E2" s="392"/>
      <c r="F2" s="392"/>
      <c r="G2" s="392"/>
      <c r="H2" s="392"/>
    </row>
    <row r="4" spans="2:9" ht="26.5" thickBot="1" x14ac:dyDescent="0.65">
      <c r="B4" s="90" t="s">
        <v>57</v>
      </c>
      <c r="C4" s="91" t="s">
        <v>60</v>
      </c>
      <c r="D4" s="92" t="s">
        <v>64</v>
      </c>
      <c r="E4" s="92" t="s">
        <v>358</v>
      </c>
      <c r="F4" s="92" t="s">
        <v>359</v>
      </c>
      <c r="G4" s="93" t="s">
        <v>315</v>
      </c>
    </row>
    <row r="5" spans="2:9" ht="26" x14ac:dyDescent="0.6">
      <c r="B5" s="165" t="s">
        <v>58</v>
      </c>
      <c r="C5" s="197">
        <f>'Inventaire achast'!C10</f>
        <v>0</v>
      </c>
      <c r="D5" s="187">
        <f>'Inventaire achast'!E10</f>
        <v>0</v>
      </c>
      <c r="E5" s="54">
        <f>'Inventaire achast'!G10</f>
        <v>0</v>
      </c>
      <c r="F5" s="190">
        <f>'Inventaire achast'!I10</f>
        <v>0</v>
      </c>
      <c r="G5" s="191">
        <f>'Inventaire achast'!K10</f>
        <v>0</v>
      </c>
    </row>
    <row r="6" spans="2:9" ht="26" x14ac:dyDescent="0.6">
      <c r="B6" s="166" t="s">
        <v>59</v>
      </c>
      <c r="C6" s="198">
        <f>'Inventaire achast'!C17</f>
        <v>0</v>
      </c>
      <c r="D6" s="126">
        <f>'Inventaire achast'!E17</f>
        <v>0</v>
      </c>
      <c r="E6" s="127">
        <f>'Inventaire achast'!G17</f>
        <v>0</v>
      </c>
      <c r="F6" s="192">
        <f>'Inventaire achast'!I17</f>
        <v>0</v>
      </c>
      <c r="G6" s="193">
        <f>'Inventaire achast'!K17</f>
        <v>0</v>
      </c>
    </row>
    <row r="7" spans="2:9" ht="26" x14ac:dyDescent="0.6">
      <c r="B7" s="166" t="s">
        <v>4</v>
      </c>
      <c r="C7" s="198">
        <f>'Inventaire achast'!C25</f>
        <v>0</v>
      </c>
      <c r="D7" s="126">
        <f>'Inventaire achast'!E25</f>
        <v>0</v>
      </c>
      <c r="E7" s="127">
        <f>'Inventaire achast'!G25</f>
        <v>0</v>
      </c>
      <c r="F7" s="192">
        <f>'Inventaire achast'!I25</f>
        <v>0</v>
      </c>
      <c r="G7" s="193">
        <f>'Inventaire achast'!K25</f>
        <v>0</v>
      </c>
    </row>
    <row r="8" spans="2:9" ht="26" x14ac:dyDescent="0.6">
      <c r="B8" s="166" t="s">
        <v>148</v>
      </c>
      <c r="C8" s="198">
        <f>'Inventaire achast'!C34</f>
        <v>0</v>
      </c>
      <c r="D8" s="126">
        <f>'Inventaire achast'!E34</f>
        <v>0</v>
      </c>
      <c r="E8" s="127">
        <f>'Inventaire achast'!G34</f>
        <v>0</v>
      </c>
      <c r="F8" s="192">
        <f>'Inventaire achast'!I34</f>
        <v>0</v>
      </c>
      <c r="G8" s="193">
        <f>'Inventaire achast'!K34</f>
        <v>0</v>
      </c>
    </row>
    <row r="9" spans="2:9" ht="26.5" thickBot="1" x14ac:dyDescent="0.65">
      <c r="B9" s="167" t="s">
        <v>164</v>
      </c>
      <c r="C9" s="199">
        <f>'Inventaire achast'!C41</f>
        <v>0</v>
      </c>
      <c r="D9" s="129">
        <f>'Inventaire achast'!E41</f>
        <v>0</v>
      </c>
      <c r="E9" s="194">
        <f>'Inventaire achast'!G41</f>
        <v>0</v>
      </c>
      <c r="F9" s="195">
        <f>'Inventaire achast'!I41</f>
        <v>0</v>
      </c>
      <c r="G9" s="196">
        <f>'Inventaire achast'!K41</f>
        <v>0</v>
      </c>
    </row>
    <row r="10" spans="2:9" ht="26" x14ac:dyDescent="0.6">
      <c r="B10" s="87" t="s">
        <v>5</v>
      </c>
      <c r="C10" s="88">
        <f>SUM(C5:C9)</f>
        <v>0</v>
      </c>
      <c r="D10" s="89">
        <f>SUM(D5:D9)</f>
        <v>0</v>
      </c>
      <c r="E10" s="506">
        <f>SUM(E5:E9)</f>
        <v>0</v>
      </c>
      <c r="F10" s="507">
        <f>SUM(F5:F9)</f>
        <v>0</v>
      </c>
      <c r="G10" s="357">
        <f>SUM(G5:G9)</f>
        <v>0</v>
      </c>
    </row>
    <row r="12" spans="2:9" s="14" customFormat="1" x14ac:dyDescent="0.35">
      <c r="B12"/>
      <c r="C12"/>
      <c r="E12"/>
      <c r="F12"/>
      <c r="G12"/>
      <c r="H12"/>
    </row>
    <row r="13" spans="2:9" ht="15" thickBot="1" x14ac:dyDescent="0.4"/>
    <row r="14" spans="2:9" ht="26" x14ac:dyDescent="0.6">
      <c r="B14" s="23" t="s">
        <v>61</v>
      </c>
      <c r="C14" s="25">
        <f>G10</f>
        <v>0</v>
      </c>
      <c r="D14" s="43"/>
    </row>
    <row r="15" spans="2:9" ht="26" x14ac:dyDescent="0.6">
      <c r="B15" s="123" t="s">
        <v>129</v>
      </c>
      <c r="C15" s="124">
        <f>D10</f>
        <v>0</v>
      </c>
      <c r="D15" s="43"/>
      <c r="E15" s="14"/>
      <c r="F15" s="14"/>
      <c r="G15" s="14"/>
      <c r="H15" s="14"/>
    </row>
    <row r="16" spans="2:9" ht="26" x14ac:dyDescent="0.6">
      <c r="B16" s="22" t="s">
        <v>360</v>
      </c>
      <c r="C16" s="26">
        <f>E10</f>
        <v>0</v>
      </c>
      <c r="D16" s="44"/>
    </row>
    <row r="17" spans="2:4" ht="26.5" thickBot="1" x14ac:dyDescent="0.65">
      <c r="B17" s="24" t="s">
        <v>361</v>
      </c>
      <c r="C17" s="27">
        <f>F10</f>
        <v>0</v>
      </c>
      <c r="D17" s="45"/>
    </row>
    <row r="18" spans="2:4" x14ac:dyDescent="0.35">
      <c r="D18" s="1"/>
    </row>
  </sheetData>
  <sheetProtection sheet="1" objects="1" scenarios="1" formatColumns="0" selectLockedCells="1"/>
  <mergeCells count="1">
    <mergeCell ref="B1:G1"/>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theme="4" tint="-0.499984740745262"/>
  </sheetPr>
  <dimension ref="B1:J27"/>
  <sheetViews>
    <sheetView zoomScale="55" zoomScaleNormal="55" workbookViewId="0">
      <selection activeCell="C3" sqref="C3"/>
    </sheetView>
  </sheetViews>
  <sheetFormatPr baseColWidth="10" defaultRowHeight="14.5" x14ac:dyDescent="0.35"/>
  <cols>
    <col min="1" max="1" width="3.453125" customWidth="1"/>
    <col min="2" max="2" width="44.81640625" customWidth="1"/>
    <col min="3" max="3" width="30" style="14" customWidth="1"/>
    <col min="4" max="4" width="16.54296875" customWidth="1"/>
    <col min="5" max="5" width="18.81640625" customWidth="1"/>
    <col min="6" max="6" width="22.1796875" customWidth="1"/>
    <col min="8" max="8" width="27.1796875" customWidth="1"/>
    <col min="9" max="9" width="30.1796875" customWidth="1"/>
  </cols>
  <sheetData>
    <row r="1" spans="2:10" ht="26.5" thickBot="1" x14ac:dyDescent="0.65">
      <c r="B1" s="562" t="s">
        <v>310</v>
      </c>
      <c r="C1" s="578"/>
      <c r="D1" s="578"/>
      <c r="E1" s="578"/>
      <c r="F1" s="579"/>
      <c r="G1" s="46"/>
      <c r="H1" s="46"/>
      <c r="I1" s="46"/>
      <c r="J1" s="46"/>
    </row>
    <row r="2" spans="2:10" s="14" customFormat="1" ht="26.5" thickBot="1" x14ac:dyDescent="0.65">
      <c r="B2" s="10"/>
      <c r="C2" s="10"/>
      <c r="D2" s="10"/>
      <c r="E2" s="10"/>
      <c r="F2" s="10"/>
      <c r="G2" s="46"/>
      <c r="H2" s="46"/>
      <c r="I2" s="46"/>
      <c r="J2" s="46"/>
    </row>
    <row r="3" spans="2:10" s="14" customFormat="1" ht="26.15" customHeight="1" x14ac:dyDescent="0.6">
      <c r="B3" s="66" t="s">
        <v>154</v>
      </c>
      <c r="C3" s="438"/>
      <c r="D3" s="10"/>
      <c r="E3" s="10"/>
      <c r="F3" s="10"/>
      <c r="G3" s="46"/>
      <c r="H3" s="46"/>
      <c r="I3" s="46"/>
      <c r="J3" s="46"/>
    </row>
    <row r="4" spans="2:10" ht="28.5" customHeight="1" x14ac:dyDescent="0.45">
      <c r="B4" s="69" t="s">
        <v>300</v>
      </c>
      <c r="C4" s="238">
        <f>'troupeaux laitier '!E22</f>
        <v>0</v>
      </c>
    </row>
    <row r="5" spans="2:10" s="14" customFormat="1" ht="28.5" customHeight="1" x14ac:dyDescent="0.45">
      <c r="B5" s="69" t="s">
        <v>301</v>
      </c>
      <c r="C5" s="238">
        <f>SUM('Troupeau viandeux'!E24,'Troupeau viandeux'!E49)</f>
        <v>0</v>
      </c>
    </row>
    <row r="6" spans="2:10" s="14" customFormat="1" ht="28.5" customHeight="1" thickBot="1" x14ac:dyDescent="0.5">
      <c r="B6" s="65" t="s">
        <v>302</v>
      </c>
      <c r="C6" s="239">
        <f>SUM(C4,C5)</f>
        <v>0</v>
      </c>
    </row>
    <row r="8" spans="2:10" ht="15" thickBot="1" x14ac:dyDescent="0.4"/>
    <row r="9" spans="2:10" ht="21.5" thickBot="1" x14ac:dyDescent="0.55000000000000004">
      <c r="B9" s="84" t="s">
        <v>69</v>
      </c>
      <c r="C9" s="85" t="s">
        <v>155</v>
      </c>
      <c r="D9" s="85" t="s">
        <v>156</v>
      </c>
      <c r="E9" s="85" t="s">
        <v>157</v>
      </c>
      <c r="F9" s="86" t="s">
        <v>158</v>
      </c>
      <c r="H9" s="67" t="s">
        <v>311</v>
      </c>
      <c r="I9" s="141" t="str">
        <f>IF(C5&gt;C6*0.2,"",IF(C3=0,"",C27/C3))</f>
        <v/>
      </c>
    </row>
    <row r="10" spans="2:10" ht="21.5" thickBot="1" x14ac:dyDescent="0.55000000000000004">
      <c r="B10" s="82" t="s">
        <v>2</v>
      </c>
      <c r="C10" s="323"/>
      <c r="D10" s="182" t="str">
        <f>IF(SUM('Assolement '!D5,'Assolement '!D6)=0,"",C10/SUM('Assolement '!D5,'Assolement '!D6))</f>
        <v/>
      </c>
      <c r="E10" s="182" t="str">
        <f>IF(SUM(Récolte!F35:F109)=0,"",C10/SUM(Récolte!F35:F109))</f>
        <v/>
      </c>
      <c r="F10" s="78" t="str">
        <f>IF(SUM(Récolte!H35:H109,Pâturage!H32)=0,"",$C$10/SUM(Récolte!H35:H109,Pâturage!H32))</f>
        <v/>
      </c>
      <c r="H10" s="68" t="s">
        <v>312</v>
      </c>
      <c r="I10" s="240" t="str">
        <f>IF($C$6=0,"",$C$27/$C$6)</f>
        <v/>
      </c>
    </row>
    <row r="11" spans="2:10" ht="21.5" thickBot="1" x14ac:dyDescent="0.55000000000000004">
      <c r="B11" s="83" t="s">
        <v>3</v>
      </c>
      <c r="C11" s="324"/>
      <c r="D11" s="48" t="str">
        <f>IF(Récolte!D10=0,"",$C$11/SUM(Récolte!D10:D13))</f>
        <v/>
      </c>
      <c r="E11" s="48" t="str">
        <f>IF(Récolte!F10=0,"",$C$11/SUM(Récolte!F10:F13))</f>
        <v/>
      </c>
      <c r="F11" s="79" t="str">
        <f>IF(Récolte!H10=0,"",$C$11/SUM(Récolte!H10:H13))</f>
        <v/>
      </c>
      <c r="H11" s="68" t="s">
        <v>313</v>
      </c>
      <c r="I11" s="240" t="str">
        <f>IF('taux de chargement'!E13=0,"",$C$27/'taux de chargement'!E13)</f>
        <v/>
      </c>
    </row>
    <row r="12" spans="2:10" ht="18.5" x14ac:dyDescent="0.45">
      <c r="B12" s="83" t="s">
        <v>294</v>
      </c>
      <c r="C12" s="324"/>
      <c r="D12" s="48" t="str">
        <f>IF(Récolte!D14=0,"",$C$12/Récolte!D14)</f>
        <v/>
      </c>
      <c r="E12" s="48" t="str">
        <f>IF(Récolte!F14=0,"",$C12/Récolte!F14)</f>
        <v/>
      </c>
      <c r="F12" s="79" t="str">
        <f>IF(Récolte!H14=0,"",$C$12/Récolte!H14)</f>
        <v/>
      </c>
    </row>
    <row r="13" spans="2:10" ht="18.5" x14ac:dyDescent="0.45">
      <c r="B13" s="83" t="s">
        <v>295</v>
      </c>
      <c r="C13" s="324"/>
      <c r="D13" s="48" t="str">
        <f>IF(Récolte!D15=0,"",$C$13/Récolte!D15)</f>
        <v/>
      </c>
      <c r="E13" s="48" t="str">
        <f>IF(Récolte!F15=0,"",$C$13/Récolte!F15)</f>
        <v/>
      </c>
      <c r="F13" s="79" t="str">
        <f>IF(Récolte!H15=0,"",$C$13/Récolte!H15)</f>
        <v/>
      </c>
    </row>
    <row r="14" spans="2:10" ht="18.5" x14ac:dyDescent="0.45">
      <c r="B14" s="83" t="s">
        <v>296</v>
      </c>
      <c r="C14" s="324"/>
      <c r="D14" s="48" t="str">
        <f>IF(Récolte!D16=0,"",$C$14/Récolte!D16)</f>
        <v/>
      </c>
      <c r="E14" s="48" t="str">
        <f>IF(Récolte!F16=0,"",$C$14/Récolte!F16)</f>
        <v/>
      </c>
      <c r="F14" s="79" t="str">
        <f>IF(Récolte!H16=0,"",$C$14/Récolte!H16)</f>
        <v/>
      </c>
    </row>
    <row r="15" spans="2:10" ht="18.5" x14ac:dyDescent="0.45">
      <c r="B15" s="83" t="s">
        <v>297</v>
      </c>
      <c r="C15" s="324"/>
      <c r="D15" s="48" t="str">
        <f>IF(Récolte!D17=0,"",$C$15/Récolte!D17)</f>
        <v/>
      </c>
      <c r="E15" s="48" t="str">
        <f>IF(Récolte!F17=0,"",$C$15/Récolte!F17)</f>
        <v/>
      </c>
      <c r="F15" s="79" t="str">
        <f>IF(Récolte!H17=0,"",$C$15/Récolte!H17)</f>
        <v/>
      </c>
      <c r="H15" s="14"/>
      <c r="I15" s="14"/>
    </row>
    <row r="16" spans="2:10" ht="18.5" x14ac:dyDescent="0.45">
      <c r="B16" s="83" t="s">
        <v>298</v>
      </c>
      <c r="C16" s="324"/>
      <c r="D16" s="48" t="str">
        <f>IF(Récolte!D18=0,"",$C$16/Récolte!D18)</f>
        <v/>
      </c>
      <c r="E16" s="48" t="str">
        <f>IF(Récolte!F18=0,"",$C$16/Récolte!F18)</f>
        <v/>
      </c>
      <c r="F16" s="79" t="str">
        <f>IF(Récolte!H18=0,"",$C$16/Récolte!H18)</f>
        <v/>
      </c>
      <c r="H16" s="14"/>
      <c r="I16" s="14"/>
    </row>
    <row r="17" spans="2:9" s="14" customFormat="1" ht="18.5" x14ac:dyDescent="0.45">
      <c r="B17" s="83" t="s">
        <v>354</v>
      </c>
      <c r="C17" s="324"/>
      <c r="D17" s="48" t="str">
        <f>IF(Récolte!D19=0,"",$C$17/Récolte!D19)</f>
        <v/>
      </c>
      <c r="E17" s="48" t="str">
        <f>IF(Récolte!F19=0,"",$C$17/Récolte!F19)</f>
        <v/>
      </c>
      <c r="F17" s="79" t="str">
        <f>IF(Récolte!H19=0,"",$C$17/Récolte!H19)</f>
        <v/>
      </c>
    </row>
    <row r="18" spans="2:9" s="14" customFormat="1" ht="18.5" x14ac:dyDescent="0.45">
      <c r="B18" s="83" t="s">
        <v>70</v>
      </c>
      <c r="C18" s="324"/>
      <c r="D18" s="48" t="str">
        <f>IF(Récolte!D21=0,"",$C$18/Récolte!D21)</f>
        <v/>
      </c>
      <c r="E18" s="48" t="str">
        <f>IF(Récolte!F21=0,"",$C$18/Récolte!F21)</f>
        <v/>
      </c>
      <c r="F18" s="79" t="str">
        <f>IF(Récolte!H21=0,"",$C$18/Récolte!H21)</f>
        <v/>
      </c>
      <c r="H18"/>
      <c r="I18"/>
    </row>
    <row r="19" spans="2:9" s="14" customFormat="1" ht="18.5" x14ac:dyDescent="0.45">
      <c r="B19" s="83" t="s">
        <v>71</v>
      </c>
      <c r="C19" s="324"/>
      <c r="D19" s="48" t="str">
        <f>IF(Récolte!D23=0,"",$C$19/Récolte!D23)</f>
        <v/>
      </c>
      <c r="E19" s="48" t="str">
        <f>IF(Récolte!F23=0,"",$C$19/Récolte!F23)</f>
        <v/>
      </c>
      <c r="F19" s="79" t="str">
        <f>IF(Récolte!H23=0,"",$C$19/Récolte!H23)</f>
        <v/>
      </c>
      <c r="H19"/>
      <c r="I19"/>
    </row>
    <row r="20" spans="2:9" ht="18.5" x14ac:dyDescent="0.45">
      <c r="B20" s="83" t="s">
        <v>72</v>
      </c>
      <c r="C20" s="324"/>
      <c r="D20" s="48" t="str">
        <f>IF(Récolte!D25=0,"",$C$20/Récolte!D25)</f>
        <v/>
      </c>
      <c r="E20" s="48" t="str">
        <f>IF(Récolte!F25=0,"",$C$20/Récolte!F25)</f>
        <v/>
      </c>
      <c r="F20" s="79" t="str">
        <f>IF(Récolte!H25=0,"",$C$20/Récolte!H25)</f>
        <v/>
      </c>
    </row>
    <row r="21" spans="2:9" ht="18.5" x14ac:dyDescent="0.45">
      <c r="B21" s="83" t="s">
        <v>73</v>
      </c>
      <c r="C21" s="324"/>
      <c r="D21" s="48" t="str">
        <f>IF(Récolte!D27=0,"",$C$21/Récolte!D27)</f>
        <v/>
      </c>
      <c r="E21" s="48" t="str">
        <f>IF(Récolte!F27=0,"",$C$21/Récolte!F27)</f>
        <v/>
      </c>
      <c r="F21" s="79" t="str">
        <f>IF(Récolte!H27=0,"",$C$21/Récolte!H27)</f>
        <v/>
      </c>
    </row>
    <row r="22" spans="2:9" ht="18.5" x14ac:dyDescent="0.45">
      <c r="B22" s="83" t="s">
        <v>353</v>
      </c>
      <c r="C22" s="324"/>
      <c r="D22" s="48" t="str">
        <f>IF(Récolte!D28=0,"",$C$22/Récolte!D29)</f>
        <v/>
      </c>
      <c r="E22" s="48" t="str">
        <f>IF(Récolte!F29=0,"",$C$22/Récolte!F29)</f>
        <v/>
      </c>
      <c r="F22" s="79" t="str">
        <f>IF(Récolte!H29=0,"",$C$22/Récolte!H29)</f>
        <v/>
      </c>
    </row>
    <row r="23" spans="2:9" ht="18.5" x14ac:dyDescent="0.45">
      <c r="B23" s="235" t="s">
        <v>299</v>
      </c>
      <c r="C23" s="325"/>
      <c r="D23" s="237" t="str">
        <f>IF(Récolte!D31=0,"",$C$23/Récolte!D31)</f>
        <v/>
      </c>
      <c r="E23" s="237" t="str">
        <f>IF(Récolte!F31=0,"",$C$23/Récolte!F31)</f>
        <v/>
      </c>
      <c r="F23" s="398" t="str">
        <f>IF(Récolte!H31=0,"",$C$23/Récolte!H31)</f>
        <v/>
      </c>
    </row>
    <row r="24" spans="2:9" ht="18.5" x14ac:dyDescent="0.45">
      <c r="B24" s="236" t="s">
        <v>299</v>
      </c>
      <c r="C24" s="324"/>
      <c r="D24" s="237" t="str">
        <f>IF(Récolte!D32=0,"",$C$24/Récolte!D32)</f>
        <v/>
      </c>
      <c r="E24" s="237" t="str">
        <f>IF(Récolte!F32=0,"",$C$24/Récolte!F32)</f>
        <v/>
      </c>
      <c r="F24" s="398" t="str">
        <f>IF(Récolte!H32=0,"",$C$24/Récolte!H32)</f>
        <v/>
      </c>
    </row>
    <row r="25" spans="2:9" ht="18.5" x14ac:dyDescent="0.45">
      <c r="B25" s="236" t="s">
        <v>299</v>
      </c>
      <c r="C25" s="324"/>
      <c r="D25" s="237" t="str">
        <f>IF(Récolte!D33=0,"",$C$25/Récolte!D33)</f>
        <v/>
      </c>
      <c r="E25" s="237" t="str">
        <f>IF(Récolte!F33=0,"",$C$25/Récolte!F33)</f>
        <v/>
      </c>
      <c r="F25" s="398" t="str">
        <f>IF(Récolte!H33=0,"",$C$25/Récolte!H33)</f>
        <v/>
      </c>
    </row>
    <row r="26" spans="2:9" ht="19" thickBot="1" x14ac:dyDescent="0.5">
      <c r="B26" s="326" t="s">
        <v>299</v>
      </c>
      <c r="C26" s="327"/>
      <c r="D26" s="237" t="str">
        <f>IF(Récolte!D34=0,"",$C$26/Récolte!D34)</f>
        <v/>
      </c>
      <c r="E26" s="237" t="str">
        <f>IF(Récolte!F34=0,"",$C$26/Récolte!F34)</f>
        <v/>
      </c>
      <c r="F26" s="398" t="str">
        <f>IF(Récolte!H34=0,"",$C$26/Récolte!H34)</f>
        <v/>
      </c>
    </row>
    <row r="27" spans="2:9" ht="21.5" thickBot="1" x14ac:dyDescent="0.55000000000000004">
      <c r="B27" s="125" t="s">
        <v>5</v>
      </c>
      <c r="C27" s="248">
        <f>SUM(C10:C26)</f>
        <v>0</v>
      </c>
      <c r="D27" s="328">
        <f>SUM(D10:D26)</f>
        <v>0</v>
      </c>
      <c r="E27" s="329">
        <f>SUM(E10:E26)</f>
        <v>0</v>
      </c>
      <c r="F27" s="330">
        <f>SUM(F10:F26)</f>
        <v>0</v>
      </c>
    </row>
  </sheetData>
  <sheetProtection sheet="1" formatColumns="0" selectLockedCells="1"/>
  <mergeCells count="1">
    <mergeCell ref="B1:F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theme="6" tint="-0.499984740745262"/>
  </sheetPr>
  <dimension ref="B1:E9"/>
  <sheetViews>
    <sheetView zoomScaleNormal="100" workbookViewId="0">
      <selection activeCell="C5" sqref="C5:C6"/>
    </sheetView>
  </sheetViews>
  <sheetFormatPr baseColWidth="10" defaultRowHeight="14.5" x14ac:dyDescent="0.35"/>
  <cols>
    <col min="2" max="2" width="39.1796875" customWidth="1"/>
    <col min="3" max="3" width="17.1796875" customWidth="1"/>
    <col min="4" max="4" width="16.81640625" customWidth="1"/>
    <col min="5" max="5" width="15.453125" customWidth="1"/>
  </cols>
  <sheetData>
    <row r="1" spans="2:5" ht="26.5" thickBot="1" x14ac:dyDescent="0.65">
      <c r="B1" s="562" t="s">
        <v>120</v>
      </c>
      <c r="C1" s="578"/>
      <c r="D1" s="578"/>
      <c r="E1" s="579"/>
    </row>
    <row r="2" spans="2:5" s="14" customFormat="1" x14ac:dyDescent="0.35"/>
    <row r="3" spans="2:5" ht="15" thickBot="1" x14ac:dyDescent="0.4"/>
    <row r="4" spans="2:5" ht="19" thickBot="1" x14ac:dyDescent="0.5">
      <c r="B4" s="73"/>
      <c r="C4" s="74" t="s">
        <v>5</v>
      </c>
      <c r="D4" s="75" t="s">
        <v>118</v>
      </c>
      <c r="E4" s="77" t="s">
        <v>119</v>
      </c>
    </row>
    <row r="5" spans="2:5" ht="19" thickBot="1" x14ac:dyDescent="0.5">
      <c r="B5" s="121" t="s">
        <v>114</v>
      </c>
      <c r="C5" s="332"/>
      <c r="D5" s="76" t="str">
        <f>IF('taux de chargement'!E13=0,"",$C$5/'taux de chargement'!E13)</f>
        <v/>
      </c>
      <c r="E5" s="80" t="str">
        <f>IF('Coûts de production'!C5&gt;'Coûts de production'!C6*0.2,"",IF('Coûts de production'!C3=0,"",$C5/'Coûts de production'!$C$3))</f>
        <v/>
      </c>
    </row>
    <row r="6" spans="2:5" s="71" customFormat="1" ht="32" x14ac:dyDescent="0.45">
      <c r="B6" s="122" t="s">
        <v>115</v>
      </c>
      <c r="C6" s="331"/>
      <c r="D6" s="241" t="str">
        <f>IF('taux de chargement'!E13=0,"",$C6/'taux de chargement'!E13)</f>
        <v/>
      </c>
      <c r="E6" s="81" t="str">
        <f>IF('Coûts de production'!C5&gt;'Coûts de production'!C6*0.2,"",IF('Coûts de production'!C3=0,"",$C6/'Coûts de production'!$C$3))</f>
        <v/>
      </c>
    </row>
    <row r="7" spans="2:5" ht="32.5" thickBot="1" x14ac:dyDescent="0.5">
      <c r="B7" s="243" t="s">
        <v>337</v>
      </c>
      <c r="C7" s="244">
        <f>'Coûts de production'!C27</f>
        <v>0</v>
      </c>
      <c r="D7" s="245" t="str">
        <f>IF('taux de chargement'!E13=0,"",$C7/'taux de chargement'!E13)</f>
        <v/>
      </c>
      <c r="E7" s="246" t="str">
        <f>IF('Coûts de production'!C5&gt;'Coûts de production'!C6*0.2,"",IF('Coûts de production'!C3=0,"",$C7/'Coûts de production'!$C$3))</f>
        <v/>
      </c>
    </row>
    <row r="8" spans="2:5" ht="19" thickBot="1" x14ac:dyDescent="0.5">
      <c r="B8" s="247" t="s">
        <v>117</v>
      </c>
      <c r="C8" s="248">
        <f>$C$5-$C$9</f>
        <v>0</v>
      </c>
      <c r="D8" s="249" t="str">
        <f>IF('taux de chargement'!E13=0,"",$C8/'taux de chargement'!E13)</f>
        <v/>
      </c>
      <c r="E8" s="250" t="str">
        <f>IF('Coûts de production'!C5&gt;'Coûts de production'!C6*0.2,"",IF('Coûts de production'!C3=0,"",$C8/'Coûts de production'!$C$3))</f>
        <v/>
      </c>
    </row>
    <row r="9" spans="2:5" ht="19" thickBot="1" x14ac:dyDescent="0.5">
      <c r="B9" s="183" t="s">
        <v>116</v>
      </c>
      <c r="C9" s="184">
        <f>$C$6+$C$7</f>
        <v>0</v>
      </c>
      <c r="D9" s="242" t="str">
        <f>IF('taux de chargement'!E13=0,"",$C9/'taux de chargement'!E13)</f>
        <v/>
      </c>
      <c r="E9" s="185" t="str">
        <f>IF('Coûts de production'!C5&gt;'Coûts de production'!C6*0.2,"",IF('Coûts de production'!C3=0,"",$C9/'Coûts de production'!$C$3))</f>
        <v/>
      </c>
    </row>
  </sheetData>
  <sheetProtection sheet="1" objects="1" scenarios="1" formatColumns="0" selectLockedCells="1"/>
  <mergeCells count="1">
    <mergeCell ref="B1:E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theme="8" tint="-0.499984740745262"/>
  </sheetPr>
  <dimension ref="B1:H26"/>
  <sheetViews>
    <sheetView zoomScale="70" zoomScaleNormal="70" workbookViewId="0">
      <selection activeCell="D31" sqref="D31"/>
    </sheetView>
  </sheetViews>
  <sheetFormatPr baseColWidth="10" defaultRowHeight="14.5" x14ac:dyDescent="0.35"/>
  <cols>
    <col min="1" max="1" width="7.1796875" customWidth="1"/>
    <col min="2" max="2" width="35.81640625" customWidth="1"/>
    <col min="3" max="3" width="20.7265625" customWidth="1"/>
    <col min="4" max="4" width="23.7265625" bestFit="1" customWidth="1"/>
    <col min="5" max="5" width="24.26953125" bestFit="1" customWidth="1"/>
    <col min="7" max="7" width="38.453125" customWidth="1"/>
    <col min="8" max="8" width="23" customWidth="1"/>
  </cols>
  <sheetData>
    <row r="1" spans="2:8" ht="26.5" thickBot="1" x14ac:dyDescent="0.65">
      <c r="B1" s="604" t="s">
        <v>135</v>
      </c>
      <c r="C1" s="605"/>
      <c r="D1" s="605"/>
      <c r="E1" s="605"/>
      <c r="F1" s="605"/>
      <c r="G1" s="605"/>
      <c r="H1" s="606"/>
    </row>
    <row r="3" spans="2:8" s="14" customFormat="1" x14ac:dyDescent="0.35"/>
    <row r="4" spans="2:8" ht="15" thickBot="1" x14ac:dyDescent="0.4"/>
    <row r="5" spans="2:8" ht="21.5" thickBot="1" x14ac:dyDescent="0.55000000000000004">
      <c r="B5" s="601" t="s">
        <v>134</v>
      </c>
      <c r="C5" s="602"/>
      <c r="D5" s="602"/>
      <c r="E5" s="603"/>
    </row>
    <row r="6" spans="2:8" ht="18.5" x14ac:dyDescent="0.45">
      <c r="B6" s="72"/>
      <c r="C6" s="131" t="s">
        <v>126</v>
      </c>
      <c r="D6" s="131" t="s">
        <v>127</v>
      </c>
      <c r="E6" s="132" t="s">
        <v>128</v>
      </c>
    </row>
    <row r="7" spans="2:8" ht="18.5" x14ac:dyDescent="0.45">
      <c r="B7" s="130" t="s">
        <v>123</v>
      </c>
      <c r="C7" s="126">
        <f>Récolte!H110+Pâturage!H32+Stock!E13</f>
        <v>0</v>
      </c>
      <c r="D7" s="127">
        <f>Récolte!J110+Pâturage!I32+Stock!G13</f>
        <v>0</v>
      </c>
      <c r="E7" s="128">
        <f>Récolte!L110+Pâturage!J32+Stock!I13</f>
        <v>0</v>
      </c>
    </row>
    <row r="8" spans="2:8" ht="18.5" x14ac:dyDescent="0.45">
      <c r="B8" s="130" t="s">
        <v>124</v>
      </c>
      <c r="C8" s="126">
        <f>('troupeaux laitier '!J22+'Troupeau viandeux'!F24+'Troupeau viandeux'!F49)/1000</f>
        <v>0</v>
      </c>
      <c r="D8" s="127">
        <f>('troupeaux laitier '!K22+'Troupeau viandeux'!G24+'Troupeau viandeux'!G49)</f>
        <v>0</v>
      </c>
      <c r="E8" s="128">
        <f>('troupeaux laitier '!L22+'Troupeau viandeux'!H24+'Troupeau viandeux'!H49)/1000</f>
        <v>0</v>
      </c>
    </row>
    <row r="9" spans="2:8" ht="19" thickBot="1" x14ac:dyDescent="0.5">
      <c r="B9" s="133" t="s">
        <v>125</v>
      </c>
      <c r="C9" s="408">
        <f>'Récapitulatif achats'!C15</f>
        <v>0</v>
      </c>
      <c r="D9" s="409">
        <f>'Récapitulatif achats'!C16</f>
        <v>0</v>
      </c>
      <c r="E9" s="410">
        <f>'Récapitulatif achats'!C17</f>
        <v>0</v>
      </c>
    </row>
    <row r="10" spans="2:8" s="14" customFormat="1" ht="32.5" thickBot="1" x14ac:dyDescent="0.5">
      <c r="B10" s="448" t="s">
        <v>357</v>
      </c>
      <c r="C10" s="411">
        <f>IF($C$8-$C$7&lt;0,"Aucun",$C$8-$C$7)</f>
        <v>0</v>
      </c>
      <c r="D10" s="412">
        <f>IF($D$8-$D$7&lt;0,"Aucun",$D$8-$D$7)</f>
        <v>0</v>
      </c>
      <c r="E10" s="413">
        <f>IF($E$8-$E$7&lt;0,"Aucun",$E$8-$E$7)</f>
        <v>0</v>
      </c>
    </row>
    <row r="11" spans="2:8" s="14" customFormat="1" ht="18.5" x14ac:dyDescent="0.45">
      <c r="B11" s="403"/>
      <c r="C11" s="404"/>
      <c r="D11" s="405"/>
      <c r="E11" s="406"/>
    </row>
    <row r="13" spans="2:8" s="14" customFormat="1" ht="21.5" thickBot="1" x14ac:dyDescent="0.55000000000000004">
      <c r="B13" s="407" t="s">
        <v>133</v>
      </c>
      <c r="C13" s="407" t="s">
        <v>121</v>
      </c>
    </row>
    <row r="14" spans="2:8" s="14" customFormat="1" ht="19" thickBot="1" x14ac:dyDescent="0.5">
      <c r="B14" s="393"/>
      <c r="C14" s="396" t="s">
        <v>132</v>
      </c>
    </row>
    <row r="15" spans="2:8" s="14" customFormat="1" ht="18.5" x14ac:dyDescent="0.45">
      <c r="B15" s="394" t="s">
        <v>130</v>
      </c>
      <c r="C15" s="397">
        <f>'Coûts de production'!C27</f>
        <v>0</v>
      </c>
    </row>
    <row r="16" spans="2:8" ht="19" thickBot="1" x14ac:dyDescent="0.5">
      <c r="B16" s="395" t="s">
        <v>338</v>
      </c>
      <c r="C16" s="398">
        <f>'Récapitulatif achats'!C14</f>
        <v>0</v>
      </c>
    </row>
    <row r="17" spans="2:5" ht="21" x14ac:dyDescent="0.5">
      <c r="B17" s="399" t="s">
        <v>131</v>
      </c>
      <c r="C17" s="400">
        <f>SUM(C15:C16)</f>
        <v>0</v>
      </c>
    </row>
    <row r="18" spans="2:5" s="1" customFormat="1" ht="14.15" customHeight="1" x14ac:dyDescent="0.5">
      <c r="B18" s="401"/>
      <c r="C18" s="402"/>
    </row>
    <row r="19" spans="2:5" s="14" customFormat="1" ht="15.65" customHeight="1" thickBot="1" x14ac:dyDescent="0.55000000000000004">
      <c r="B19" s="401"/>
      <c r="C19" s="402"/>
    </row>
    <row r="20" spans="2:5" ht="21.5" thickBot="1" x14ac:dyDescent="0.55000000000000004">
      <c r="B20" s="607" t="s">
        <v>136</v>
      </c>
      <c r="C20" s="608"/>
      <c r="D20" s="608"/>
      <c r="E20" s="609"/>
    </row>
    <row r="21" spans="2:5" ht="19" thickBot="1" x14ac:dyDescent="0.5">
      <c r="B21" s="73"/>
      <c r="C21" s="134" t="s">
        <v>137</v>
      </c>
      <c r="D21" s="134" t="s">
        <v>316</v>
      </c>
      <c r="E21" s="135" t="s">
        <v>138</v>
      </c>
    </row>
    <row r="22" spans="2:5" ht="26" x14ac:dyDescent="0.6">
      <c r="B22" s="136" t="s">
        <v>139</v>
      </c>
      <c r="C22" s="137" t="str">
        <f>IF($C$8=0,"",$C$7/$C$8)</f>
        <v/>
      </c>
      <c r="D22" s="137" t="str">
        <f>IF($D$8=0,"",$D$7/$D$8)</f>
        <v/>
      </c>
      <c r="E22" s="138" t="str">
        <f>IF($E$8=0,"",$E$7/$E$8)</f>
        <v/>
      </c>
    </row>
    <row r="23" spans="2:5" ht="26.5" thickBot="1" x14ac:dyDescent="0.65">
      <c r="B23" s="70" t="s">
        <v>140</v>
      </c>
      <c r="C23" s="139" t="str">
        <f>IF(SUM($C$7,$C$9)=0,"",$C$7/SUM($C$7,$C$9))</f>
        <v/>
      </c>
      <c r="D23" s="139" t="str">
        <f>IF(SUM($D$7,$D$9)=0,"",$D$7/SUM($D$7,$D$9))</f>
        <v/>
      </c>
      <c r="E23" s="140" t="str">
        <f>IF(SUM($E$7,$E$9)=0,"",$E$7/SUM($E$7,$E$9))</f>
        <v/>
      </c>
    </row>
    <row r="25" spans="2:5" ht="15" thickBot="1" x14ac:dyDescent="0.4"/>
    <row r="26" spans="2:5" ht="39" thickBot="1" x14ac:dyDescent="0.65">
      <c r="B26" s="142" t="s">
        <v>141</v>
      </c>
      <c r="C26" s="152" t="str">
        <f>IF('Marge brute'!C5=0,"",(('Marge brute'!C5)-('Marge brute'!C9))/('Marge brute'!C5))</f>
        <v/>
      </c>
    </row>
  </sheetData>
  <sheetProtection sheet="1" formatColumns="0" selectLockedCells="1"/>
  <mergeCells count="3">
    <mergeCell ref="B5:E5"/>
    <mergeCell ref="B1:H1"/>
    <mergeCell ref="B20:E20"/>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theme="9" tint="-0.499984740745262"/>
  </sheetPr>
  <dimension ref="A1:J62"/>
  <sheetViews>
    <sheetView zoomScale="55" zoomScaleNormal="55" workbookViewId="0">
      <selection activeCell="G64" sqref="G64"/>
    </sheetView>
  </sheetViews>
  <sheetFormatPr baseColWidth="10" defaultRowHeight="14.5" x14ac:dyDescent="0.35"/>
  <cols>
    <col min="1" max="1" width="32" customWidth="1"/>
    <col min="5" max="5" width="28.81640625" customWidth="1"/>
    <col min="6" max="6" width="26.1796875" bestFit="1" customWidth="1"/>
  </cols>
  <sheetData>
    <row r="1" spans="1:10" ht="26.5" thickBot="1" x14ac:dyDescent="0.65">
      <c r="A1" s="562" t="s">
        <v>339</v>
      </c>
      <c r="B1" s="578"/>
      <c r="C1" s="578"/>
      <c r="D1" s="578"/>
      <c r="E1" s="578"/>
      <c r="F1" s="578"/>
      <c r="G1" s="578"/>
      <c r="H1" s="579"/>
    </row>
    <row r="2" spans="1:10" s="14" customFormat="1" x14ac:dyDescent="0.35"/>
    <row r="3" spans="1:10" s="14" customFormat="1" x14ac:dyDescent="0.35">
      <c r="A3" s="14" t="s">
        <v>292</v>
      </c>
    </row>
    <row r="5" spans="1:10" s="14" customFormat="1" x14ac:dyDescent="0.35"/>
    <row r="6" spans="1:10" ht="18.5" x14ac:dyDescent="0.45">
      <c r="A6" s="219" t="s">
        <v>191</v>
      </c>
      <c r="B6" s="439" t="s">
        <v>355</v>
      </c>
      <c r="C6" s="220" t="s">
        <v>127</v>
      </c>
      <c r="D6" s="220" t="s">
        <v>192</v>
      </c>
      <c r="E6" s="220" t="s">
        <v>193</v>
      </c>
      <c r="F6" s="221" t="s">
        <v>194</v>
      </c>
      <c r="G6" s="220" t="s">
        <v>356</v>
      </c>
      <c r="H6" s="220" t="s">
        <v>195</v>
      </c>
      <c r="I6" s="220" t="s">
        <v>196</v>
      </c>
      <c r="J6" s="222" t="s">
        <v>197</v>
      </c>
    </row>
    <row r="7" spans="1:10" s="14" customFormat="1" ht="15.5" x14ac:dyDescent="0.35">
      <c r="A7" s="231" t="s">
        <v>201</v>
      </c>
      <c r="B7" s="440"/>
      <c r="C7" s="224"/>
      <c r="D7" s="224"/>
      <c r="E7" s="224"/>
      <c r="F7" s="232" t="s">
        <v>249</v>
      </c>
      <c r="G7" s="441"/>
      <c r="H7" s="224"/>
      <c r="I7" s="224"/>
      <c r="J7" s="226"/>
    </row>
    <row r="8" spans="1:10" ht="15.5" x14ac:dyDescent="0.35">
      <c r="A8" s="223" t="s">
        <v>198</v>
      </c>
      <c r="B8" s="442">
        <v>85</v>
      </c>
      <c r="C8" s="224">
        <v>435</v>
      </c>
      <c r="D8" s="224">
        <v>355</v>
      </c>
      <c r="E8" s="224">
        <v>14</v>
      </c>
      <c r="F8" s="225" t="s">
        <v>250</v>
      </c>
      <c r="G8" s="445">
        <v>87</v>
      </c>
      <c r="H8" s="224">
        <v>1220</v>
      </c>
      <c r="I8" s="224">
        <v>1320</v>
      </c>
      <c r="J8" s="226">
        <v>109</v>
      </c>
    </row>
    <row r="9" spans="1:10" ht="15.5" x14ac:dyDescent="0.35">
      <c r="A9" s="223" t="s">
        <v>199</v>
      </c>
      <c r="B9" s="442">
        <v>85</v>
      </c>
      <c r="C9" s="224">
        <v>515</v>
      </c>
      <c r="D9" s="224">
        <v>420</v>
      </c>
      <c r="E9" s="224">
        <v>14</v>
      </c>
      <c r="F9" s="225" t="s">
        <v>251</v>
      </c>
      <c r="G9" s="445">
        <v>87</v>
      </c>
      <c r="H9" s="224">
        <v>1120</v>
      </c>
      <c r="I9" s="224">
        <v>1200</v>
      </c>
      <c r="J9" s="226">
        <v>89</v>
      </c>
    </row>
    <row r="10" spans="1:10" ht="15.5" x14ac:dyDescent="0.35">
      <c r="A10" s="223" t="s">
        <v>200</v>
      </c>
      <c r="B10" s="442">
        <v>85</v>
      </c>
      <c r="C10" s="224">
        <v>525</v>
      </c>
      <c r="D10" s="224">
        <v>450</v>
      </c>
      <c r="E10" s="224">
        <v>15</v>
      </c>
      <c r="F10" s="225" t="s">
        <v>252</v>
      </c>
      <c r="G10" s="445">
        <v>87</v>
      </c>
      <c r="H10" s="224">
        <v>980</v>
      </c>
      <c r="I10" s="224">
        <v>990</v>
      </c>
      <c r="J10" s="226">
        <v>60</v>
      </c>
    </row>
    <row r="11" spans="1:10" ht="15.5" x14ac:dyDescent="0.35">
      <c r="A11" s="223" t="s">
        <v>202</v>
      </c>
      <c r="B11" s="442">
        <v>85</v>
      </c>
      <c r="C11" s="224">
        <v>440</v>
      </c>
      <c r="D11" s="224">
        <v>360</v>
      </c>
      <c r="E11" s="224">
        <v>12</v>
      </c>
      <c r="F11" s="225" t="s">
        <v>253</v>
      </c>
      <c r="G11" s="445">
        <v>87</v>
      </c>
      <c r="H11" s="224">
        <v>960</v>
      </c>
      <c r="I11" s="224">
        <v>1010</v>
      </c>
      <c r="J11" s="226">
        <v>65</v>
      </c>
    </row>
    <row r="12" spans="1:10" ht="15.5" x14ac:dyDescent="0.35">
      <c r="A12" s="223" t="s">
        <v>203</v>
      </c>
      <c r="B12" s="442">
        <v>85</v>
      </c>
      <c r="C12" s="224">
        <v>510</v>
      </c>
      <c r="D12" s="224">
        <v>460</v>
      </c>
      <c r="E12" s="224">
        <v>14</v>
      </c>
      <c r="F12" s="225" t="s">
        <v>254</v>
      </c>
      <c r="G12" s="445">
        <v>87</v>
      </c>
      <c r="H12" s="224">
        <v>1200</v>
      </c>
      <c r="I12" s="224">
        <v>1260</v>
      </c>
      <c r="J12" s="226">
        <v>98</v>
      </c>
    </row>
    <row r="13" spans="1:10" ht="15.5" x14ac:dyDescent="0.35">
      <c r="A13" s="223" t="s">
        <v>204</v>
      </c>
      <c r="B13" s="442">
        <v>85</v>
      </c>
      <c r="C13" s="224">
        <v>565</v>
      </c>
      <c r="D13" s="224" t="s">
        <v>29</v>
      </c>
      <c r="E13" s="224">
        <v>35</v>
      </c>
      <c r="F13" s="225" t="s">
        <v>255</v>
      </c>
      <c r="G13" s="445">
        <v>87</v>
      </c>
      <c r="H13" s="224">
        <v>1160</v>
      </c>
      <c r="I13" s="224">
        <v>1275</v>
      </c>
      <c r="J13" s="226">
        <v>86</v>
      </c>
    </row>
    <row r="14" spans="1:10" ht="15.5" x14ac:dyDescent="0.35">
      <c r="A14" s="231" t="s">
        <v>205</v>
      </c>
      <c r="B14" s="443"/>
      <c r="C14" s="224"/>
      <c r="D14" s="224"/>
      <c r="E14" s="224"/>
      <c r="F14" s="225" t="s">
        <v>217</v>
      </c>
      <c r="G14" s="445">
        <v>87</v>
      </c>
      <c r="H14" s="224">
        <v>1230</v>
      </c>
      <c r="I14" s="224">
        <v>1425</v>
      </c>
      <c r="J14" s="226">
        <v>105</v>
      </c>
    </row>
    <row r="15" spans="1:10" ht="15.5" x14ac:dyDescent="0.35">
      <c r="A15" s="223" t="s">
        <v>206</v>
      </c>
      <c r="B15" s="442">
        <v>84</v>
      </c>
      <c r="C15" s="224">
        <v>850</v>
      </c>
      <c r="D15" s="224">
        <v>830</v>
      </c>
      <c r="E15" s="224">
        <v>80</v>
      </c>
      <c r="F15" s="225" t="s">
        <v>256</v>
      </c>
      <c r="G15" s="445">
        <v>87</v>
      </c>
      <c r="H15" s="224">
        <v>1020</v>
      </c>
      <c r="I15" s="224">
        <v>1160</v>
      </c>
      <c r="J15" s="226">
        <v>110</v>
      </c>
    </row>
    <row r="16" spans="1:10" ht="15.5" x14ac:dyDescent="0.35">
      <c r="A16" s="223" t="s">
        <v>207</v>
      </c>
      <c r="B16" s="442">
        <v>84</v>
      </c>
      <c r="C16" s="224">
        <v>785</v>
      </c>
      <c r="D16" s="224">
        <v>770</v>
      </c>
      <c r="E16" s="224">
        <v>69</v>
      </c>
      <c r="F16" s="225" t="s">
        <v>257</v>
      </c>
      <c r="G16" s="445">
        <v>87</v>
      </c>
      <c r="H16" s="224">
        <v>1150</v>
      </c>
      <c r="I16" s="224">
        <v>1240</v>
      </c>
      <c r="J16" s="226">
        <v>115</v>
      </c>
    </row>
    <row r="17" spans="1:10" ht="15.5" x14ac:dyDescent="0.35">
      <c r="A17" s="223" t="s">
        <v>208</v>
      </c>
      <c r="B17" s="442">
        <v>84</v>
      </c>
      <c r="C17" s="224">
        <v>735</v>
      </c>
      <c r="D17" s="224">
        <v>715</v>
      </c>
      <c r="E17" s="224">
        <v>57</v>
      </c>
      <c r="F17" s="232" t="s">
        <v>258</v>
      </c>
      <c r="G17" s="446"/>
      <c r="H17" s="224"/>
      <c r="I17" s="224"/>
      <c r="J17" s="226"/>
    </row>
    <row r="18" spans="1:10" ht="15.5" x14ac:dyDescent="0.35">
      <c r="A18" s="223" t="s">
        <v>209</v>
      </c>
      <c r="B18" s="442">
        <v>84</v>
      </c>
      <c r="C18" s="224">
        <v>685</v>
      </c>
      <c r="D18" s="224">
        <v>675</v>
      </c>
      <c r="E18" s="224">
        <v>44</v>
      </c>
      <c r="F18" s="225" t="s">
        <v>259</v>
      </c>
      <c r="G18" s="445">
        <v>91</v>
      </c>
      <c r="H18" s="224">
        <v>715</v>
      </c>
      <c r="I18" s="224">
        <v>690</v>
      </c>
      <c r="J18" s="226">
        <v>80</v>
      </c>
    </row>
    <row r="19" spans="1:10" ht="15.5" x14ac:dyDescent="0.35">
      <c r="A19" s="223" t="s">
        <v>210</v>
      </c>
      <c r="B19" s="442">
        <v>84</v>
      </c>
      <c r="C19" s="224">
        <v>680</v>
      </c>
      <c r="D19" s="224">
        <v>620</v>
      </c>
      <c r="E19" s="224">
        <v>65</v>
      </c>
      <c r="F19" s="225" t="s">
        <v>260</v>
      </c>
      <c r="G19" s="445">
        <v>87</v>
      </c>
      <c r="H19" s="224">
        <v>1020</v>
      </c>
      <c r="I19" s="224">
        <v>1100</v>
      </c>
      <c r="J19" s="226">
        <v>105</v>
      </c>
    </row>
    <row r="20" spans="1:10" ht="15.5" x14ac:dyDescent="0.35">
      <c r="A20" s="223" t="s">
        <v>211</v>
      </c>
      <c r="B20" s="442">
        <v>84</v>
      </c>
      <c r="C20" s="224">
        <v>590</v>
      </c>
      <c r="D20" s="224">
        <v>490</v>
      </c>
      <c r="E20" s="224">
        <v>41</v>
      </c>
      <c r="F20" s="225" t="s">
        <v>261</v>
      </c>
      <c r="G20" s="445">
        <v>90</v>
      </c>
      <c r="H20" s="224">
        <v>1100</v>
      </c>
      <c r="I20" s="224">
        <v>1190</v>
      </c>
      <c r="J20" s="226">
        <v>53</v>
      </c>
    </row>
    <row r="21" spans="1:10" ht="15.5" x14ac:dyDescent="0.35">
      <c r="A21" s="223" t="s">
        <v>212</v>
      </c>
      <c r="B21" s="442">
        <v>84</v>
      </c>
      <c r="C21" s="224">
        <v>530</v>
      </c>
      <c r="D21" s="224">
        <v>450</v>
      </c>
      <c r="E21" s="224">
        <v>32</v>
      </c>
      <c r="F21" s="225" t="s">
        <v>262</v>
      </c>
      <c r="G21" s="445">
        <v>90</v>
      </c>
      <c r="H21" s="224">
        <v>1100</v>
      </c>
      <c r="I21" s="224">
        <v>1200</v>
      </c>
      <c r="J21" s="226">
        <v>82</v>
      </c>
    </row>
    <row r="22" spans="1:10" ht="15.5" x14ac:dyDescent="0.35">
      <c r="A22" s="231" t="s">
        <v>213</v>
      </c>
      <c r="B22" s="443"/>
      <c r="C22" s="224"/>
      <c r="D22" s="224"/>
      <c r="E22" s="224"/>
      <c r="F22" s="225" t="s">
        <v>263</v>
      </c>
      <c r="G22" s="445">
        <v>90</v>
      </c>
      <c r="H22" s="224">
        <v>910</v>
      </c>
      <c r="I22" s="224">
        <v>935</v>
      </c>
      <c r="J22" s="226">
        <v>181</v>
      </c>
    </row>
    <row r="23" spans="1:10" ht="15.5" x14ac:dyDescent="0.35">
      <c r="A23" s="223" t="s">
        <v>214</v>
      </c>
      <c r="B23" s="442">
        <v>17</v>
      </c>
      <c r="C23" s="224">
        <v>915</v>
      </c>
      <c r="D23" s="224">
        <v>930</v>
      </c>
      <c r="E23" s="224">
        <v>80</v>
      </c>
      <c r="F23" s="225" t="s">
        <v>264</v>
      </c>
      <c r="G23" s="445">
        <v>87</v>
      </c>
      <c r="H23" s="224">
        <v>930</v>
      </c>
      <c r="I23" s="224">
        <v>970</v>
      </c>
      <c r="J23" s="226">
        <v>75</v>
      </c>
    </row>
    <row r="24" spans="1:10" ht="15.5" x14ac:dyDescent="0.35">
      <c r="A24" s="223" t="s">
        <v>215</v>
      </c>
      <c r="B24" s="442">
        <v>20</v>
      </c>
      <c r="C24" s="224">
        <v>760</v>
      </c>
      <c r="D24" s="224">
        <v>740</v>
      </c>
      <c r="E24" s="224">
        <v>65</v>
      </c>
      <c r="F24" s="225" t="s">
        <v>265</v>
      </c>
      <c r="G24" s="445">
        <v>87</v>
      </c>
      <c r="H24" s="224">
        <v>995</v>
      </c>
      <c r="I24" s="224">
        <v>1050</v>
      </c>
      <c r="J24" s="226">
        <v>90</v>
      </c>
    </row>
    <row r="25" spans="1:10" ht="15.5" x14ac:dyDescent="0.35">
      <c r="A25" s="223" t="s">
        <v>216</v>
      </c>
      <c r="B25" s="442">
        <v>12</v>
      </c>
      <c r="C25" s="224">
        <v>960</v>
      </c>
      <c r="D25" s="224">
        <v>1000</v>
      </c>
      <c r="E25" s="224">
        <v>83</v>
      </c>
      <c r="F25" s="225" t="s">
        <v>266</v>
      </c>
      <c r="G25" s="445">
        <v>78</v>
      </c>
      <c r="H25" s="224">
        <v>1020</v>
      </c>
      <c r="I25" s="224">
        <v>1050</v>
      </c>
      <c r="J25" s="226">
        <v>70</v>
      </c>
    </row>
    <row r="26" spans="1:10" ht="15.5" x14ac:dyDescent="0.35">
      <c r="A26" s="223" t="s">
        <v>217</v>
      </c>
      <c r="B26" s="442">
        <v>28</v>
      </c>
      <c r="C26" s="224">
        <v>960</v>
      </c>
      <c r="D26" s="224">
        <v>1000</v>
      </c>
      <c r="E26" s="224">
        <v>55</v>
      </c>
      <c r="F26" s="225" t="s">
        <v>267</v>
      </c>
      <c r="G26" s="445">
        <v>87</v>
      </c>
      <c r="H26" s="224">
        <v>1130</v>
      </c>
      <c r="I26" s="224">
        <v>1240</v>
      </c>
      <c r="J26" s="226">
        <v>85</v>
      </c>
    </row>
    <row r="27" spans="1:10" ht="15.5" x14ac:dyDescent="0.35">
      <c r="A27" s="223" t="s">
        <v>218</v>
      </c>
      <c r="B27" s="442">
        <v>15</v>
      </c>
      <c r="C27" s="224">
        <v>840</v>
      </c>
      <c r="D27" s="224">
        <v>850</v>
      </c>
      <c r="E27" s="224">
        <v>55</v>
      </c>
      <c r="F27" s="225" t="s">
        <v>268</v>
      </c>
      <c r="G27" s="445">
        <v>87</v>
      </c>
      <c r="H27" s="224">
        <v>1250</v>
      </c>
      <c r="I27" s="224">
        <v>1390</v>
      </c>
      <c r="J27" s="226">
        <v>62</v>
      </c>
    </row>
    <row r="28" spans="1:10" ht="15.5" x14ac:dyDescent="0.35">
      <c r="A28" s="223" t="s">
        <v>219</v>
      </c>
      <c r="B28" s="442">
        <v>10</v>
      </c>
      <c r="C28" s="224">
        <v>820</v>
      </c>
      <c r="D28" s="224">
        <v>795</v>
      </c>
      <c r="E28" s="224">
        <v>65</v>
      </c>
      <c r="F28" s="225" t="s">
        <v>352</v>
      </c>
      <c r="G28" s="445">
        <v>90</v>
      </c>
      <c r="H28" s="224">
        <v>700</v>
      </c>
      <c r="I28" s="224" t="s">
        <v>29</v>
      </c>
      <c r="J28" s="226" t="s">
        <v>29</v>
      </c>
    </row>
    <row r="29" spans="1:10" ht="15.5" x14ac:dyDescent="0.35">
      <c r="A29" s="223" t="s">
        <v>340</v>
      </c>
      <c r="B29" s="442">
        <v>16</v>
      </c>
      <c r="C29" s="224">
        <v>800</v>
      </c>
      <c r="D29" s="224" t="s">
        <v>29</v>
      </c>
      <c r="E29" s="224">
        <v>70</v>
      </c>
      <c r="F29" s="225" t="s">
        <v>269</v>
      </c>
      <c r="G29" s="445">
        <v>90</v>
      </c>
      <c r="H29" s="224">
        <v>900</v>
      </c>
      <c r="I29" s="224" t="s">
        <v>29</v>
      </c>
      <c r="J29" s="226" t="s">
        <v>29</v>
      </c>
    </row>
    <row r="30" spans="1:10" ht="15.5" x14ac:dyDescent="0.35">
      <c r="A30" s="223" t="s">
        <v>220</v>
      </c>
      <c r="B30" s="442">
        <v>11</v>
      </c>
      <c r="C30" s="224">
        <v>950</v>
      </c>
      <c r="D30" s="224" t="s">
        <v>29</v>
      </c>
      <c r="E30" s="224">
        <v>85</v>
      </c>
      <c r="F30" s="225" t="s">
        <v>270</v>
      </c>
      <c r="G30" s="445">
        <v>90</v>
      </c>
      <c r="H30" s="224">
        <v>890</v>
      </c>
      <c r="I30" s="224">
        <v>910</v>
      </c>
      <c r="J30" s="226">
        <v>14</v>
      </c>
    </row>
    <row r="31" spans="1:10" ht="15.5" x14ac:dyDescent="0.35">
      <c r="A31" s="231" t="s">
        <v>221</v>
      </c>
      <c r="B31" s="443"/>
      <c r="C31" s="224"/>
      <c r="D31" s="224"/>
      <c r="E31" s="224"/>
      <c r="F31" s="225" t="s">
        <v>271</v>
      </c>
      <c r="G31" s="445">
        <v>80</v>
      </c>
      <c r="H31" s="224">
        <v>1040</v>
      </c>
      <c r="I31" s="224">
        <v>1105</v>
      </c>
      <c r="J31" s="226">
        <v>50</v>
      </c>
    </row>
    <row r="32" spans="1:10" ht="15.5" x14ac:dyDescent="0.35">
      <c r="A32" s="223" t="s">
        <v>222</v>
      </c>
      <c r="B32" s="442">
        <v>18</v>
      </c>
      <c r="C32" s="224">
        <v>900</v>
      </c>
      <c r="D32" s="224">
        <v>910</v>
      </c>
      <c r="E32" s="224">
        <v>50</v>
      </c>
      <c r="F32" s="232" t="s">
        <v>272</v>
      </c>
      <c r="G32" s="446"/>
      <c r="H32" s="224"/>
      <c r="I32" s="224"/>
      <c r="J32" s="226"/>
    </row>
    <row r="33" spans="1:10" ht="15.5" x14ac:dyDescent="0.35">
      <c r="A33" s="223" t="s">
        <v>223</v>
      </c>
      <c r="B33" s="442">
        <v>19</v>
      </c>
      <c r="C33" s="224">
        <v>825</v>
      </c>
      <c r="D33" s="224">
        <v>835</v>
      </c>
      <c r="E33" s="224">
        <v>43</v>
      </c>
      <c r="F33" s="225" t="s">
        <v>273</v>
      </c>
      <c r="G33" s="445">
        <v>91</v>
      </c>
      <c r="H33" s="224">
        <v>1240</v>
      </c>
      <c r="I33" s="224">
        <v>1375</v>
      </c>
      <c r="J33" s="226">
        <v>190</v>
      </c>
    </row>
    <row r="34" spans="1:10" ht="15.5" x14ac:dyDescent="0.35">
      <c r="A34" s="223" t="s">
        <v>224</v>
      </c>
      <c r="B34" s="442">
        <v>20</v>
      </c>
      <c r="C34" s="224">
        <v>70</v>
      </c>
      <c r="D34" s="224">
        <v>760</v>
      </c>
      <c r="E34" s="224">
        <v>36</v>
      </c>
      <c r="F34" s="225" t="s">
        <v>346</v>
      </c>
      <c r="G34" s="445">
        <v>91</v>
      </c>
      <c r="H34" s="224">
        <v>1000</v>
      </c>
      <c r="I34" s="224">
        <v>1060</v>
      </c>
      <c r="J34" s="226">
        <v>210</v>
      </c>
    </row>
    <row r="35" spans="1:10" ht="15.5" x14ac:dyDescent="0.35">
      <c r="A35" s="223" t="s">
        <v>225</v>
      </c>
      <c r="B35" s="442">
        <v>21</v>
      </c>
      <c r="C35" s="224">
        <v>675</v>
      </c>
      <c r="D35" s="224">
        <v>670</v>
      </c>
      <c r="E35" s="224">
        <v>30</v>
      </c>
      <c r="F35" s="225" t="s">
        <v>347</v>
      </c>
      <c r="G35" s="445">
        <v>90</v>
      </c>
      <c r="H35" s="224">
        <v>1210</v>
      </c>
      <c r="I35" s="224">
        <v>1335</v>
      </c>
      <c r="J35" s="226">
        <v>170</v>
      </c>
    </row>
    <row r="36" spans="1:10" ht="15.5" x14ac:dyDescent="0.35">
      <c r="A36" s="223" t="s">
        <v>226</v>
      </c>
      <c r="B36" s="442">
        <v>30</v>
      </c>
      <c r="C36" s="224">
        <v>900</v>
      </c>
      <c r="D36" s="224">
        <v>910</v>
      </c>
      <c r="E36" s="224">
        <v>59</v>
      </c>
      <c r="F36" s="225" t="s">
        <v>348</v>
      </c>
      <c r="G36" s="445">
        <v>91</v>
      </c>
      <c r="H36" s="224">
        <v>1120</v>
      </c>
      <c r="I36" s="224">
        <v>1220</v>
      </c>
      <c r="J36" s="226">
        <v>175</v>
      </c>
    </row>
    <row r="37" spans="1:10" ht="15.5" x14ac:dyDescent="0.35">
      <c r="A37" s="223" t="s">
        <v>341</v>
      </c>
      <c r="B37" s="442">
        <v>30</v>
      </c>
      <c r="C37" s="224">
        <v>825</v>
      </c>
      <c r="D37" s="224">
        <v>835</v>
      </c>
      <c r="E37" s="224">
        <v>50</v>
      </c>
      <c r="F37" s="225" t="s">
        <v>349</v>
      </c>
      <c r="G37" s="445">
        <v>91</v>
      </c>
      <c r="H37" s="224">
        <v>1090</v>
      </c>
      <c r="I37" s="224">
        <v>1180</v>
      </c>
      <c r="J37" s="226">
        <v>105</v>
      </c>
    </row>
    <row r="38" spans="1:10" ht="15.5" x14ac:dyDescent="0.35">
      <c r="A38" s="223" t="s">
        <v>227</v>
      </c>
      <c r="B38" s="442">
        <v>30</v>
      </c>
      <c r="C38" s="224">
        <v>750</v>
      </c>
      <c r="D38" s="224">
        <v>760</v>
      </c>
      <c r="E38" s="224">
        <v>41</v>
      </c>
      <c r="F38" s="225" t="s">
        <v>350</v>
      </c>
      <c r="G38" s="445">
        <v>90</v>
      </c>
      <c r="H38" s="224">
        <v>1175</v>
      </c>
      <c r="I38" s="224">
        <v>1295</v>
      </c>
      <c r="J38" s="226">
        <v>95</v>
      </c>
    </row>
    <row r="39" spans="1:10" ht="15.5" x14ac:dyDescent="0.35">
      <c r="A39" s="223" t="s">
        <v>228</v>
      </c>
      <c r="B39" s="442">
        <v>30</v>
      </c>
      <c r="C39" s="224">
        <v>675</v>
      </c>
      <c r="D39" s="224">
        <v>670</v>
      </c>
      <c r="E39" s="224">
        <v>32</v>
      </c>
      <c r="F39" s="225" t="s">
        <v>351</v>
      </c>
      <c r="G39" s="445">
        <v>90</v>
      </c>
      <c r="H39" s="224">
        <v>1090</v>
      </c>
      <c r="I39" s="224">
        <v>1180</v>
      </c>
      <c r="J39" s="226">
        <v>145</v>
      </c>
    </row>
    <row r="40" spans="1:10" ht="15.5" x14ac:dyDescent="0.35">
      <c r="A40" s="223" t="s">
        <v>229</v>
      </c>
      <c r="B40" s="442">
        <v>45</v>
      </c>
      <c r="C40" s="224">
        <v>900</v>
      </c>
      <c r="D40" s="224">
        <v>910</v>
      </c>
      <c r="E40" s="224">
        <v>70</v>
      </c>
      <c r="F40" s="225" t="s">
        <v>345</v>
      </c>
      <c r="G40" s="445">
        <v>93</v>
      </c>
      <c r="H40" s="224">
        <v>1160</v>
      </c>
      <c r="I40" s="224">
        <v>1275</v>
      </c>
      <c r="J40" s="226">
        <v>185</v>
      </c>
    </row>
    <row r="41" spans="1:10" ht="15.5" x14ac:dyDescent="0.35">
      <c r="A41" s="223" t="s">
        <v>230</v>
      </c>
      <c r="B41" s="442">
        <v>45</v>
      </c>
      <c r="C41" s="224">
        <v>925</v>
      </c>
      <c r="D41" s="224">
        <v>935</v>
      </c>
      <c r="E41" s="224">
        <v>60</v>
      </c>
      <c r="F41" s="225" t="s">
        <v>274</v>
      </c>
      <c r="G41" s="445">
        <v>91</v>
      </c>
      <c r="H41" s="224">
        <v>1080</v>
      </c>
      <c r="I41" s="224">
        <v>1165</v>
      </c>
      <c r="J41" s="226">
        <v>205</v>
      </c>
    </row>
    <row r="42" spans="1:10" ht="15.5" x14ac:dyDescent="0.35">
      <c r="A42" s="223" t="s">
        <v>231</v>
      </c>
      <c r="B42" s="442">
        <v>45</v>
      </c>
      <c r="C42" s="224">
        <v>750</v>
      </c>
      <c r="D42" s="224">
        <v>760</v>
      </c>
      <c r="E42" s="224">
        <v>50</v>
      </c>
      <c r="F42" s="225" t="s">
        <v>344</v>
      </c>
      <c r="G42" s="445">
        <v>91</v>
      </c>
      <c r="H42" s="224">
        <v>860</v>
      </c>
      <c r="I42" s="224">
        <v>875</v>
      </c>
      <c r="J42" s="226">
        <v>235</v>
      </c>
    </row>
    <row r="43" spans="1:10" ht="15.5" x14ac:dyDescent="0.35">
      <c r="A43" s="223" t="s">
        <v>232</v>
      </c>
      <c r="B43" s="442">
        <v>45</v>
      </c>
      <c r="C43" s="224">
        <v>675</v>
      </c>
      <c r="D43" s="224">
        <v>670</v>
      </c>
      <c r="E43" s="224">
        <v>40</v>
      </c>
      <c r="F43" s="225" t="s">
        <v>275</v>
      </c>
      <c r="G43" s="445">
        <v>91</v>
      </c>
      <c r="H43" s="224">
        <v>970</v>
      </c>
      <c r="I43" s="224">
        <v>1015</v>
      </c>
      <c r="J43" s="226">
        <v>180</v>
      </c>
    </row>
    <row r="44" spans="1:10" ht="15.5" x14ac:dyDescent="0.35">
      <c r="A44" s="231" t="s">
        <v>233</v>
      </c>
      <c r="B44" s="443"/>
      <c r="C44" s="224"/>
      <c r="D44" s="224"/>
      <c r="E44" s="224"/>
      <c r="F44" s="225" t="s">
        <v>276</v>
      </c>
      <c r="G44" s="445">
        <v>91</v>
      </c>
      <c r="H44" s="224">
        <v>935</v>
      </c>
      <c r="I44" s="224">
        <v>975</v>
      </c>
      <c r="J44" s="226">
        <v>180</v>
      </c>
    </row>
    <row r="45" spans="1:10" ht="15.5" x14ac:dyDescent="0.35">
      <c r="A45" s="223" t="s">
        <v>234</v>
      </c>
      <c r="B45" s="442">
        <v>22</v>
      </c>
      <c r="C45" s="224">
        <v>870</v>
      </c>
      <c r="D45" s="224">
        <v>880</v>
      </c>
      <c r="E45" s="224">
        <v>50</v>
      </c>
      <c r="F45" s="225" t="s">
        <v>277</v>
      </c>
      <c r="G45" s="445">
        <v>90</v>
      </c>
      <c r="H45" s="224">
        <v>930</v>
      </c>
      <c r="I45" s="224">
        <v>970</v>
      </c>
      <c r="J45" s="226">
        <v>120</v>
      </c>
    </row>
    <row r="46" spans="1:10" ht="15.5" x14ac:dyDescent="0.35">
      <c r="A46" s="223" t="s">
        <v>235</v>
      </c>
      <c r="B46" s="442">
        <v>26</v>
      </c>
      <c r="C46" s="224">
        <v>905</v>
      </c>
      <c r="D46" s="224">
        <v>910</v>
      </c>
      <c r="E46" s="224">
        <v>52</v>
      </c>
      <c r="F46" s="225" t="s">
        <v>278</v>
      </c>
      <c r="G46" s="445">
        <v>89</v>
      </c>
      <c r="H46" s="224">
        <v>1030</v>
      </c>
      <c r="I46" s="224">
        <v>1095</v>
      </c>
      <c r="J46" s="226">
        <v>100</v>
      </c>
    </row>
    <row r="47" spans="1:10" ht="15.5" x14ac:dyDescent="0.35">
      <c r="A47" s="223" t="s">
        <v>236</v>
      </c>
      <c r="B47" s="442">
        <v>30</v>
      </c>
      <c r="C47" s="224">
        <v>935</v>
      </c>
      <c r="D47" s="224">
        <v>950</v>
      </c>
      <c r="E47" s="224">
        <v>54</v>
      </c>
      <c r="F47" s="225" t="s">
        <v>343</v>
      </c>
      <c r="G47" s="445">
        <v>91</v>
      </c>
      <c r="H47" s="224">
        <v>890</v>
      </c>
      <c r="I47" s="224">
        <v>920</v>
      </c>
      <c r="J47" s="226">
        <v>145</v>
      </c>
    </row>
    <row r="48" spans="1:10" ht="15.5" x14ac:dyDescent="0.35">
      <c r="A48" s="223" t="s">
        <v>237</v>
      </c>
      <c r="B48" s="442">
        <v>34</v>
      </c>
      <c r="C48" s="224">
        <v>955</v>
      </c>
      <c r="D48" s="224">
        <v>970</v>
      </c>
      <c r="E48" s="224">
        <v>55</v>
      </c>
      <c r="F48" s="225" t="s">
        <v>342</v>
      </c>
      <c r="G48" s="445">
        <v>91</v>
      </c>
      <c r="H48" s="224">
        <v>975</v>
      </c>
      <c r="I48" s="224">
        <v>1025</v>
      </c>
      <c r="J48" s="226">
        <v>200</v>
      </c>
    </row>
    <row r="49" spans="1:10" ht="15.5" x14ac:dyDescent="0.35">
      <c r="A49" s="223" t="s">
        <v>215</v>
      </c>
      <c r="B49" s="442">
        <v>23</v>
      </c>
      <c r="C49" s="224">
        <v>720</v>
      </c>
      <c r="D49" s="224">
        <v>670</v>
      </c>
      <c r="E49" s="224">
        <v>30</v>
      </c>
      <c r="F49" s="225" t="s">
        <v>279</v>
      </c>
      <c r="G49" s="445">
        <v>91</v>
      </c>
      <c r="H49" s="224">
        <v>1110</v>
      </c>
      <c r="I49" s="224">
        <v>1205</v>
      </c>
      <c r="J49" s="226">
        <v>265</v>
      </c>
    </row>
    <row r="50" spans="1:10" ht="15.5" x14ac:dyDescent="0.35">
      <c r="A50" s="223" t="s">
        <v>212</v>
      </c>
      <c r="B50" s="442">
        <v>23</v>
      </c>
      <c r="C50" s="224">
        <v>625</v>
      </c>
      <c r="D50" s="224">
        <v>570</v>
      </c>
      <c r="E50" s="224">
        <v>45</v>
      </c>
      <c r="F50" s="232" t="s">
        <v>280</v>
      </c>
      <c r="G50" s="446"/>
      <c r="H50" s="224"/>
      <c r="I50" s="224"/>
      <c r="J50" s="226"/>
    </row>
    <row r="51" spans="1:10" ht="15.5" x14ac:dyDescent="0.35">
      <c r="A51" s="223" t="s">
        <v>238</v>
      </c>
      <c r="B51" s="442">
        <v>9</v>
      </c>
      <c r="C51" s="224">
        <v>1040</v>
      </c>
      <c r="D51" s="224">
        <v>1090</v>
      </c>
      <c r="E51" s="224">
        <v>106</v>
      </c>
      <c r="F51" s="225" t="s">
        <v>281</v>
      </c>
      <c r="G51" s="445">
        <v>15</v>
      </c>
      <c r="H51" s="224">
        <v>800</v>
      </c>
      <c r="I51" s="224" t="s">
        <v>29</v>
      </c>
      <c r="J51" s="226">
        <v>0</v>
      </c>
    </row>
    <row r="52" spans="1:10" ht="15.5" x14ac:dyDescent="0.35">
      <c r="A52" s="223" t="s">
        <v>239</v>
      </c>
      <c r="B52" s="442">
        <v>14</v>
      </c>
      <c r="C52" s="224">
        <v>1040</v>
      </c>
      <c r="D52" s="224">
        <v>1090</v>
      </c>
      <c r="E52" s="224">
        <v>105</v>
      </c>
      <c r="F52" s="225" t="s">
        <v>282</v>
      </c>
      <c r="G52" s="445">
        <v>18</v>
      </c>
      <c r="H52" s="224">
        <v>835</v>
      </c>
      <c r="I52" s="224" t="s">
        <v>29</v>
      </c>
      <c r="J52" s="226">
        <v>0</v>
      </c>
    </row>
    <row r="53" spans="1:10" ht="15.5" x14ac:dyDescent="0.35">
      <c r="A53" s="223" t="s">
        <v>240</v>
      </c>
      <c r="B53" s="442">
        <v>22</v>
      </c>
      <c r="C53" s="224">
        <v>1040</v>
      </c>
      <c r="D53" s="224">
        <v>1090</v>
      </c>
      <c r="E53" s="224">
        <v>105</v>
      </c>
      <c r="F53" s="225" t="s">
        <v>283</v>
      </c>
      <c r="G53" s="445">
        <v>35</v>
      </c>
      <c r="H53" s="224">
        <v>1000</v>
      </c>
      <c r="I53" s="224" t="s">
        <v>29</v>
      </c>
      <c r="J53" s="226">
        <v>97</v>
      </c>
    </row>
    <row r="54" spans="1:10" ht="15.5" x14ac:dyDescent="0.35">
      <c r="A54" s="223" t="s">
        <v>241</v>
      </c>
      <c r="B54" s="442">
        <v>24</v>
      </c>
      <c r="C54" s="224">
        <v>940</v>
      </c>
      <c r="D54" s="224">
        <v>940</v>
      </c>
      <c r="E54" s="224">
        <v>105</v>
      </c>
      <c r="F54" s="225" t="s">
        <v>284</v>
      </c>
      <c r="G54" s="445">
        <v>35</v>
      </c>
      <c r="H54" s="224">
        <v>900</v>
      </c>
      <c r="I54" s="224" t="s">
        <v>29</v>
      </c>
      <c r="J54" s="226">
        <v>0</v>
      </c>
    </row>
    <row r="55" spans="1:10" ht="15.5" x14ac:dyDescent="0.35">
      <c r="A55" s="223" t="s">
        <v>218</v>
      </c>
      <c r="B55" s="442">
        <v>17</v>
      </c>
      <c r="C55" s="224">
        <v>750</v>
      </c>
      <c r="D55" s="224">
        <v>725</v>
      </c>
      <c r="E55" s="224">
        <v>62</v>
      </c>
      <c r="F55" s="225" t="s">
        <v>285</v>
      </c>
      <c r="G55" s="445">
        <v>30</v>
      </c>
      <c r="H55" s="224">
        <v>750</v>
      </c>
      <c r="I55" s="224" t="s">
        <v>29</v>
      </c>
      <c r="J55" s="226">
        <v>0</v>
      </c>
    </row>
    <row r="56" spans="1:10" ht="15.5" x14ac:dyDescent="0.35">
      <c r="A56" s="231" t="s">
        <v>242</v>
      </c>
      <c r="B56" s="443"/>
      <c r="C56" s="224"/>
      <c r="D56" s="224"/>
      <c r="E56" s="224"/>
      <c r="F56" s="225" t="s">
        <v>286</v>
      </c>
      <c r="G56" s="445">
        <v>90</v>
      </c>
      <c r="H56" s="224">
        <v>930</v>
      </c>
      <c r="I56" s="224" t="s">
        <v>29</v>
      </c>
      <c r="J56" s="226">
        <v>182</v>
      </c>
    </row>
    <row r="57" spans="1:10" ht="15.5" x14ac:dyDescent="0.35">
      <c r="A57" s="223" t="s">
        <v>243</v>
      </c>
      <c r="B57" s="442">
        <v>22</v>
      </c>
      <c r="C57" s="224">
        <v>1080</v>
      </c>
      <c r="D57" s="224">
        <v>1150</v>
      </c>
      <c r="E57" s="224">
        <v>70</v>
      </c>
      <c r="F57" s="225" t="s">
        <v>287</v>
      </c>
      <c r="G57" s="445">
        <v>30</v>
      </c>
      <c r="H57" s="224">
        <v>800</v>
      </c>
      <c r="I57" s="224" t="s">
        <v>29</v>
      </c>
      <c r="J57" s="226">
        <v>0</v>
      </c>
    </row>
    <row r="58" spans="1:10" ht="15.5" x14ac:dyDescent="0.35">
      <c r="A58" s="227" t="s">
        <v>244</v>
      </c>
      <c r="B58" s="444">
        <v>22</v>
      </c>
      <c r="C58" s="228">
        <v>1050</v>
      </c>
      <c r="D58" s="228">
        <v>1170</v>
      </c>
      <c r="E58" s="228">
        <v>65</v>
      </c>
      <c r="F58" s="229" t="s">
        <v>288</v>
      </c>
      <c r="G58" s="447">
        <v>16</v>
      </c>
      <c r="H58" s="228">
        <v>1000</v>
      </c>
      <c r="I58" s="228">
        <v>1060</v>
      </c>
      <c r="J58" s="230">
        <v>45</v>
      </c>
    </row>
    <row r="59" spans="1:10" ht="15.5" x14ac:dyDescent="0.35">
      <c r="A59" s="223" t="s">
        <v>245</v>
      </c>
      <c r="B59" s="442">
        <v>13</v>
      </c>
      <c r="C59" s="224">
        <v>1090</v>
      </c>
      <c r="D59" s="224">
        <v>1225</v>
      </c>
      <c r="E59" s="224">
        <v>75</v>
      </c>
      <c r="F59" s="225" t="s">
        <v>289</v>
      </c>
      <c r="G59" s="445">
        <v>16</v>
      </c>
      <c r="H59" s="224">
        <v>1070</v>
      </c>
      <c r="I59" s="224">
        <v>1155</v>
      </c>
      <c r="J59" s="230">
        <v>65</v>
      </c>
    </row>
    <row r="60" spans="1:10" ht="15.5" x14ac:dyDescent="0.35">
      <c r="A60" s="223" t="s">
        <v>246</v>
      </c>
      <c r="B60" s="442">
        <v>13</v>
      </c>
      <c r="C60" s="224">
        <v>960</v>
      </c>
      <c r="D60" s="224">
        <v>1170</v>
      </c>
      <c r="E60" s="224">
        <v>60</v>
      </c>
      <c r="F60" s="225" t="s">
        <v>290</v>
      </c>
      <c r="G60" s="445">
        <v>14.5</v>
      </c>
      <c r="H60" s="224">
        <v>1035</v>
      </c>
      <c r="I60" s="224">
        <v>1105</v>
      </c>
      <c r="J60" s="230">
        <v>105</v>
      </c>
    </row>
    <row r="61" spans="1:10" ht="15.5" x14ac:dyDescent="0.35">
      <c r="A61" s="223" t="s">
        <v>247</v>
      </c>
      <c r="B61" s="442">
        <v>13</v>
      </c>
      <c r="C61" s="224">
        <v>1000</v>
      </c>
      <c r="D61" s="224">
        <v>1045</v>
      </c>
      <c r="E61" s="224">
        <v>65</v>
      </c>
      <c r="F61" s="225" t="s">
        <v>291</v>
      </c>
      <c r="G61" s="445">
        <v>7</v>
      </c>
      <c r="H61" s="224">
        <v>1100</v>
      </c>
      <c r="I61" s="224">
        <v>1190</v>
      </c>
      <c r="J61" s="230">
        <v>99</v>
      </c>
    </row>
    <row r="62" spans="1:10" ht="15.5" x14ac:dyDescent="0.35">
      <c r="A62" s="223" t="s">
        <v>248</v>
      </c>
      <c r="B62" s="442">
        <v>13</v>
      </c>
      <c r="C62" s="334">
        <v>885</v>
      </c>
      <c r="D62" s="224">
        <v>900</v>
      </c>
      <c r="E62" s="224">
        <v>70</v>
      </c>
      <c r="F62" s="225"/>
      <c r="G62" s="445"/>
      <c r="H62" s="224"/>
      <c r="I62" s="224"/>
      <c r="J62" s="230"/>
    </row>
  </sheetData>
  <sheetProtection sheet="1" objects="1" scenarios="1" selectLockedCells="1"/>
  <mergeCells count="1">
    <mergeCell ref="A1:H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2" tint="-0.499984740745262"/>
  </sheetPr>
  <dimension ref="A1:AS10"/>
  <sheetViews>
    <sheetView zoomScale="85" zoomScaleNormal="85" workbookViewId="0">
      <selection activeCell="K20" sqref="K20"/>
    </sheetView>
  </sheetViews>
  <sheetFormatPr baseColWidth="10" defaultRowHeight="14.5" x14ac:dyDescent="0.35"/>
  <cols>
    <col min="16" max="16" width="10.81640625" style="150"/>
  </cols>
  <sheetData>
    <row r="1" spans="1:45" ht="28" customHeight="1" thickBot="1" x14ac:dyDescent="0.4">
      <c r="B1" s="556" t="s">
        <v>320</v>
      </c>
      <c r="C1" s="557"/>
      <c r="D1" s="557"/>
      <c r="E1" s="557"/>
      <c r="F1" s="557"/>
      <c r="G1" s="557"/>
      <c r="H1" s="557"/>
      <c r="I1" s="557"/>
      <c r="J1" s="557"/>
      <c r="K1" s="558"/>
      <c r="L1" s="387"/>
    </row>
    <row r="2" spans="1:45" ht="14.5" customHeight="1" x14ac:dyDescent="0.35">
      <c r="B2" s="387"/>
      <c r="C2" s="387"/>
      <c r="D2" s="387"/>
      <c r="E2" s="387"/>
      <c r="F2" s="387"/>
      <c r="G2" s="387"/>
      <c r="H2" s="387"/>
      <c r="I2" s="387"/>
      <c r="J2" s="387"/>
      <c r="K2" s="387"/>
      <c r="L2" s="387"/>
    </row>
    <row r="5" spans="1:45" ht="18.5" x14ac:dyDescent="0.45">
      <c r="A5" s="252"/>
      <c r="B5" s="253"/>
    </row>
    <row r="6" spans="1:45" ht="15.5" x14ac:dyDescent="0.35">
      <c r="A6" s="254"/>
      <c r="B6" s="254"/>
      <c r="C6" s="254"/>
      <c r="D6" s="254"/>
      <c r="E6" s="254"/>
      <c r="F6" s="254"/>
      <c r="G6" s="254"/>
      <c r="H6" s="254"/>
      <c r="I6" s="254"/>
      <c r="J6" s="254"/>
      <c r="K6" s="254"/>
      <c r="L6" s="254"/>
      <c r="M6" s="254"/>
      <c r="N6" s="254"/>
      <c r="O6" s="254"/>
      <c r="P6" s="333"/>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row>
    <row r="7" spans="1:45" ht="15.5" x14ac:dyDescent="0.35">
      <c r="A7" s="254"/>
      <c r="B7" s="254"/>
      <c r="C7" s="254"/>
      <c r="D7" s="254"/>
      <c r="E7" s="254"/>
      <c r="F7" s="254"/>
      <c r="G7" s="254"/>
      <c r="H7" s="254"/>
      <c r="I7" s="254"/>
      <c r="J7" s="254"/>
      <c r="K7" s="254"/>
      <c r="L7" s="254"/>
      <c r="M7" s="254"/>
      <c r="N7" s="254"/>
      <c r="O7" s="254"/>
      <c r="P7" s="333"/>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row>
    <row r="10" spans="1:45" ht="18.5" x14ac:dyDescent="0.45">
      <c r="A10" s="251"/>
    </row>
  </sheetData>
  <sheetProtection sheet="1" objects="1" scenarios="1" selectLockedCells="1"/>
  <mergeCells count="1">
    <mergeCell ref="B1:K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5" tint="-0.499984740745262"/>
  </sheetPr>
  <dimension ref="B1:D11"/>
  <sheetViews>
    <sheetView zoomScale="85" zoomScaleNormal="85" workbookViewId="0">
      <selection activeCell="D5" sqref="D5:D10"/>
    </sheetView>
  </sheetViews>
  <sheetFormatPr baseColWidth="10" defaultRowHeight="14.5" x14ac:dyDescent="0.35"/>
  <cols>
    <col min="2" max="2" width="40.7265625" customWidth="1"/>
    <col min="3" max="3" width="17" customWidth="1"/>
    <col min="4" max="4" width="22.1796875" customWidth="1"/>
  </cols>
  <sheetData>
    <row r="1" spans="2:4" ht="26.5" thickBot="1" x14ac:dyDescent="0.65">
      <c r="B1" s="562" t="s">
        <v>122</v>
      </c>
      <c r="C1" s="563"/>
      <c r="D1" s="564"/>
    </row>
    <row r="2" spans="2:4" ht="15" thickBot="1" x14ac:dyDescent="0.4"/>
    <row r="3" spans="2:4" ht="26.5" thickBot="1" x14ac:dyDescent="0.65">
      <c r="B3" s="559" t="s">
        <v>19</v>
      </c>
      <c r="C3" s="560"/>
      <c r="D3" s="561"/>
    </row>
    <row r="4" spans="2:4" ht="21" x14ac:dyDescent="0.5">
      <c r="B4" s="3" t="s">
        <v>169</v>
      </c>
      <c r="C4" s="4" t="s">
        <v>0</v>
      </c>
      <c r="D4" s="5" t="s">
        <v>1</v>
      </c>
    </row>
    <row r="5" spans="2:4" ht="31" x14ac:dyDescent="0.35">
      <c r="B5" s="200" t="s">
        <v>167</v>
      </c>
      <c r="C5" s="349"/>
      <c r="D5" s="350"/>
    </row>
    <row r="6" spans="2:4" s="14" customFormat="1" ht="15.5" x14ac:dyDescent="0.35">
      <c r="B6" s="6" t="s">
        <v>168</v>
      </c>
      <c r="C6" s="349"/>
      <c r="D6" s="350"/>
    </row>
    <row r="7" spans="2:4" ht="15.5" x14ac:dyDescent="0.35">
      <c r="B7" s="6" t="s">
        <v>170</v>
      </c>
      <c r="C7" s="349"/>
      <c r="D7" s="350"/>
    </row>
    <row r="8" spans="2:4" ht="15.5" x14ac:dyDescent="0.35">
      <c r="B8" s="6" t="s">
        <v>329</v>
      </c>
      <c r="C8" s="349"/>
      <c r="D8" s="350"/>
    </row>
    <row r="9" spans="2:4" s="14" customFormat="1" ht="31" x14ac:dyDescent="0.35">
      <c r="B9" s="200" t="s">
        <v>171</v>
      </c>
      <c r="C9" s="351"/>
      <c r="D9" s="352"/>
    </row>
    <row r="10" spans="2:4" ht="31.5" thickBot="1" x14ac:dyDescent="0.4">
      <c r="B10" s="201" t="s">
        <v>172</v>
      </c>
      <c r="C10" s="351"/>
      <c r="D10" s="352"/>
    </row>
    <row r="11" spans="2:4" ht="21.5" thickBot="1" x14ac:dyDescent="0.55000000000000004">
      <c r="B11" s="47" t="s">
        <v>5</v>
      </c>
      <c r="C11" s="2"/>
      <c r="D11" s="353">
        <f>SUM(D5:D10)</f>
        <v>0</v>
      </c>
    </row>
  </sheetData>
  <sheetProtection sheet="1" objects="1" scenarios="1" formatColumns="0" selectLockedCells="1"/>
  <mergeCells count="2">
    <mergeCell ref="B3: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92D050"/>
  </sheetPr>
  <dimension ref="A1:S110"/>
  <sheetViews>
    <sheetView zoomScale="40" zoomScaleNormal="40" workbookViewId="0">
      <selection activeCell="B6" sqref="B6:D6"/>
    </sheetView>
  </sheetViews>
  <sheetFormatPr baseColWidth="10" defaultRowHeight="14.5" x14ac:dyDescent="0.35"/>
  <cols>
    <col min="2" max="2" width="38.1796875" customWidth="1"/>
    <col min="3" max="3" width="30.54296875" bestFit="1" customWidth="1"/>
    <col min="4" max="4" width="23" style="14" customWidth="1"/>
    <col min="5" max="5" width="22.81640625" style="14" customWidth="1"/>
    <col min="6" max="6" width="68.54296875" style="14" customWidth="1"/>
    <col min="7" max="7" width="25.453125" style="14" customWidth="1"/>
    <col min="8" max="8" width="31.453125" customWidth="1"/>
    <col min="9" max="9" width="35.453125" customWidth="1"/>
    <col min="10" max="10" width="38.26953125" customWidth="1"/>
    <col min="11" max="11" width="36.90625" bestFit="1" customWidth="1"/>
    <col min="12" max="12" width="34.1796875" bestFit="1" customWidth="1"/>
    <col min="13" max="13" width="17.453125" customWidth="1"/>
    <col min="14" max="14" width="19.81640625" customWidth="1"/>
    <col min="15" max="15" width="19.453125" customWidth="1"/>
    <col min="16" max="16" width="14.54296875" customWidth="1"/>
  </cols>
  <sheetData>
    <row r="1" spans="1:13" ht="26.5" thickBot="1" x14ac:dyDescent="0.65">
      <c r="A1" s="10"/>
      <c r="B1" s="565" t="s">
        <v>330</v>
      </c>
      <c r="C1" s="566"/>
      <c r="D1" s="566"/>
      <c r="E1" s="566"/>
      <c r="F1" s="566"/>
      <c r="G1" s="566"/>
      <c r="H1" s="566"/>
      <c r="I1" s="566"/>
      <c r="J1" s="566"/>
      <c r="K1" s="567"/>
      <c r="L1" s="11"/>
      <c r="M1" s="11"/>
    </row>
    <row r="2" spans="1:13" s="14" customFormat="1" ht="26" x14ac:dyDescent="0.6">
      <c r="A2" s="10"/>
      <c r="B2" s="11"/>
      <c r="C2" s="11"/>
      <c r="D2" s="11"/>
      <c r="E2" s="11"/>
      <c r="F2" s="11"/>
      <c r="G2" s="11"/>
      <c r="H2" s="11"/>
      <c r="I2" s="11"/>
      <c r="J2" s="11"/>
      <c r="K2" s="11"/>
      <c r="L2" s="11"/>
      <c r="M2" s="11"/>
    </row>
    <row r="3" spans="1:13" s="14" customFormat="1" ht="26" x14ac:dyDescent="0.6">
      <c r="A3" s="10"/>
      <c r="B3" s="388"/>
      <c r="C3" s="11"/>
      <c r="D3" s="11"/>
      <c r="E3" s="11"/>
      <c r="F3" s="11"/>
      <c r="G3" s="11"/>
      <c r="H3" s="11"/>
      <c r="I3" s="11"/>
      <c r="J3" s="11"/>
      <c r="K3" s="11"/>
      <c r="L3" s="11"/>
      <c r="M3" s="11"/>
    </row>
    <row r="4" spans="1:13" s="14" customFormat="1" ht="26" x14ac:dyDescent="0.6">
      <c r="A4" s="10"/>
      <c r="B4" s="388"/>
      <c r="C4" s="11"/>
      <c r="D4" s="11"/>
      <c r="E4" s="11"/>
      <c r="F4" s="11"/>
      <c r="G4" s="11"/>
      <c r="H4" s="11"/>
      <c r="I4" s="11"/>
      <c r="J4" s="11"/>
      <c r="K4" s="11"/>
      <c r="L4" s="11"/>
      <c r="M4" s="11"/>
    </row>
    <row r="5" spans="1:13" s="14" customFormat="1" ht="26" x14ac:dyDescent="0.6">
      <c r="A5" s="10" t="s">
        <v>318</v>
      </c>
      <c r="B5" s="568" t="s">
        <v>317</v>
      </c>
      <c r="C5" s="568"/>
      <c r="D5" s="568"/>
      <c r="E5" s="568"/>
      <c r="F5" s="568"/>
      <c r="G5" s="11"/>
      <c r="H5" s="11"/>
      <c r="I5" s="11"/>
      <c r="J5" s="11"/>
      <c r="K5" s="11"/>
      <c r="L5" s="11"/>
      <c r="M5" s="11"/>
    </row>
    <row r="6" spans="1:13" s="14" customFormat="1" ht="26" x14ac:dyDescent="0.6">
      <c r="A6" s="10"/>
      <c r="B6" s="568" t="s">
        <v>319</v>
      </c>
      <c r="C6" s="568"/>
      <c r="D6" s="568"/>
      <c r="E6" s="389"/>
      <c r="F6" s="389"/>
      <c r="G6" s="11"/>
      <c r="H6" s="11"/>
      <c r="I6" s="11"/>
      <c r="J6" s="11"/>
      <c r="K6" s="11"/>
      <c r="L6" s="11"/>
      <c r="M6" s="11"/>
    </row>
    <row r="7" spans="1:13" s="14" customFormat="1" ht="26.5" thickBot="1" x14ac:dyDescent="0.65">
      <c r="A7" s="10"/>
      <c r="B7" s="11"/>
      <c r="C7" s="11"/>
      <c r="D7" s="11"/>
      <c r="E7" s="11"/>
      <c r="F7" s="11"/>
      <c r="G7" s="11"/>
      <c r="H7" s="11"/>
      <c r="I7" s="11"/>
      <c r="J7" s="11"/>
      <c r="K7" s="11"/>
      <c r="L7" s="11"/>
      <c r="M7" s="11"/>
    </row>
    <row r="8" spans="1:13" ht="26.5" thickBot="1" x14ac:dyDescent="0.65">
      <c r="B8" s="569" t="s">
        <v>331</v>
      </c>
      <c r="C8" s="570"/>
      <c r="D8" s="570"/>
      <c r="E8" s="570"/>
      <c r="F8" s="570"/>
      <c r="G8" s="570"/>
      <c r="H8" s="570"/>
      <c r="I8" s="570"/>
      <c r="J8" s="570"/>
      <c r="K8" s="570"/>
      <c r="L8" s="571"/>
    </row>
    <row r="9" spans="1:13" ht="26.5" thickBot="1" x14ac:dyDescent="0.65">
      <c r="B9" s="52" t="s">
        <v>6</v>
      </c>
      <c r="C9" s="53" t="s">
        <v>0</v>
      </c>
      <c r="D9" s="53" t="s">
        <v>1</v>
      </c>
      <c r="E9" s="53" t="s">
        <v>68</v>
      </c>
      <c r="F9" s="53" t="s">
        <v>76</v>
      </c>
      <c r="G9" s="169" t="s">
        <v>67</v>
      </c>
      <c r="H9" s="169" t="s">
        <v>62</v>
      </c>
      <c r="I9" s="53" t="s">
        <v>65</v>
      </c>
      <c r="J9" s="533" t="s">
        <v>358</v>
      </c>
      <c r="K9" s="457" t="s">
        <v>66</v>
      </c>
      <c r="L9" s="539" t="s">
        <v>359</v>
      </c>
    </row>
    <row r="10" spans="1:13" ht="18.5" x14ac:dyDescent="0.45">
      <c r="B10" s="451" t="s">
        <v>3</v>
      </c>
      <c r="C10" s="452"/>
      <c r="D10" s="416"/>
      <c r="E10" s="453"/>
      <c r="F10" s="170">
        <f>$D10*$E10</f>
        <v>0</v>
      </c>
      <c r="G10" s="450"/>
      <c r="H10" s="171">
        <f>$F10*$G10</f>
        <v>0</v>
      </c>
      <c r="I10" s="458"/>
      <c r="J10" s="526">
        <f>Tableau1[[#This Row],[T de MS]]*Tableau1[[#This Row],[VEM/T de MS]]</f>
        <v>0</v>
      </c>
      <c r="K10" s="482"/>
      <c r="L10" s="540">
        <f>Tableau1[[#This Row],[Kg de DVE/T de MS]]*Tableau1[[#This Row],[T de MS]]</f>
        <v>0</v>
      </c>
    </row>
    <row r="11" spans="1:13" ht="18.5" x14ac:dyDescent="0.45">
      <c r="B11" s="204"/>
      <c r="C11" s="337"/>
      <c r="D11" s="268"/>
      <c r="E11" s="269"/>
      <c r="F11" s="428">
        <f>$D11*$E11</f>
        <v>0</v>
      </c>
      <c r="G11" s="258"/>
      <c r="H11" s="172">
        <f t="shared" ref="H11:H13" si="0">$F11*$G11</f>
        <v>0</v>
      </c>
      <c r="I11" s="459"/>
      <c r="J11" s="527">
        <f>Tableau1[[#This Row],[T de MS]]*Tableau1[[#This Row],[VEM/T de MS]]</f>
        <v>0</v>
      </c>
      <c r="K11" s="481"/>
      <c r="L11" s="541">
        <f>Tableau1[[#This Row],[Kg de DVE/T de MS]]*Tableau1[[#This Row],[T de MS]]</f>
        <v>0</v>
      </c>
    </row>
    <row r="12" spans="1:13" ht="18.5" x14ac:dyDescent="0.45">
      <c r="B12" s="204"/>
      <c r="C12" s="337"/>
      <c r="D12" s="268"/>
      <c r="E12" s="269"/>
      <c r="F12" s="428">
        <f>$D12*$E12</f>
        <v>0</v>
      </c>
      <c r="G12" s="258"/>
      <c r="H12" s="172">
        <f t="shared" si="0"/>
        <v>0</v>
      </c>
      <c r="I12" s="459"/>
      <c r="J12" s="527">
        <f>Tableau1[[#This Row],[T de MS]]*Tableau1[[#This Row],[VEM/T de MS]]</f>
        <v>0</v>
      </c>
      <c r="K12" s="481"/>
      <c r="L12" s="541">
        <f>Tableau1[[#This Row],[Kg de DVE/T de MS]]*Tableau1[[#This Row],[T de MS]]</f>
        <v>0</v>
      </c>
    </row>
    <row r="13" spans="1:13" ht="19" thickBot="1" x14ac:dyDescent="0.5">
      <c r="B13" s="455"/>
      <c r="C13" s="454"/>
      <c r="D13" s="414"/>
      <c r="E13" s="415"/>
      <c r="F13" s="170">
        <f t="shared" ref="F13" si="1">$D13*$E13</f>
        <v>0</v>
      </c>
      <c r="G13" s="456"/>
      <c r="H13" s="174">
        <f t="shared" si="0"/>
        <v>0</v>
      </c>
      <c r="I13" s="460"/>
      <c r="J13" s="528">
        <f>Tableau1[[#This Row],[T de MS]]*Tableau1[[#This Row],[VEM/T de MS]]</f>
        <v>0</v>
      </c>
      <c r="K13" s="483"/>
      <c r="L13" s="542">
        <f>Tableau1[[#This Row],[Kg de DVE/T de MS]]*Tableau1[[#This Row],[T de MS]]</f>
        <v>0</v>
      </c>
    </row>
    <row r="14" spans="1:13" ht="22" customHeight="1" x14ac:dyDescent="0.45">
      <c r="B14" s="233" t="s">
        <v>173</v>
      </c>
      <c r="C14" s="336" t="s">
        <v>363</v>
      </c>
      <c r="D14" s="416"/>
      <c r="E14" s="421"/>
      <c r="F14" s="418">
        <f>$D14*$E14</f>
        <v>0</v>
      </c>
      <c r="G14" s="257"/>
      <c r="H14" s="180">
        <f t="shared" ref="H14:H87" si="2">$F14*$G14</f>
        <v>0</v>
      </c>
      <c r="I14" s="461"/>
      <c r="J14" s="526">
        <f>Tableau1[[#This Row],[T de MS]]*Tableau1[[#This Row],[VEM/T de MS]]</f>
        <v>0</v>
      </c>
      <c r="K14" s="484"/>
      <c r="L14" s="540">
        <f>Tableau1[[#This Row],[Kg de DVE/T de MS]]*Tableau1[[#This Row],[T de MS]]</f>
        <v>0</v>
      </c>
    </row>
    <row r="15" spans="1:13" ht="19" customHeight="1" x14ac:dyDescent="0.45">
      <c r="B15" s="234"/>
      <c r="C15" s="336" t="s">
        <v>364</v>
      </c>
      <c r="D15" s="268"/>
      <c r="E15" s="269"/>
      <c r="F15" s="419">
        <f>$D15*$E15</f>
        <v>0</v>
      </c>
      <c r="G15" s="258"/>
      <c r="H15" s="178">
        <f t="shared" si="2"/>
        <v>0</v>
      </c>
      <c r="I15" s="462"/>
      <c r="J15" s="527">
        <f>Tableau1[[#This Row],[T de MS]]*Tableau1[[#This Row],[VEM/T de MS]]</f>
        <v>0</v>
      </c>
      <c r="K15" s="481"/>
      <c r="L15" s="541">
        <f>Tableau1[[#This Row],[Kg de DVE/T de MS]]*Tableau1[[#This Row],[T de MS]]</f>
        <v>0</v>
      </c>
    </row>
    <row r="16" spans="1:13" ht="18.649999999999999" customHeight="1" x14ac:dyDescent="0.45">
      <c r="B16" s="234"/>
      <c r="C16" s="336" t="s">
        <v>365</v>
      </c>
      <c r="D16" s="268"/>
      <c r="E16" s="269"/>
      <c r="F16" s="419">
        <f t="shared" ref="F16:F34" si="3">$D16*$E16</f>
        <v>0</v>
      </c>
      <c r="G16" s="258"/>
      <c r="H16" s="178">
        <f t="shared" si="2"/>
        <v>0</v>
      </c>
      <c r="I16" s="462"/>
      <c r="J16" s="527">
        <f>Tableau1[[#This Row],[T de MS]]*Tableau1[[#This Row],[VEM/T de MS]]</f>
        <v>0</v>
      </c>
      <c r="K16" s="481"/>
      <c r="L16" s="541">
        <f>Tableau1[[#This Row],[Kg de DVE/T de MS]]*Tableau1[[#This Row],[T de MS]]</f>
        <v>0</v>
      </c>
    </row>
    <row r="17" spans="2:12" ht="19" customHeight="1" x14ac:dyDescent="0.45">
      <c r="B17" s="234"/>
      <c r="C17" s="337" t="s">
        <v>174</v>
      </c>
      <c r="D17" s="268"/>
      <c r="E17" s="269"/>
      <c r="F17" s="419">
        <f t="shared" si="3"/>
        <v>0</v>
      </c>
      <c r="G17" s="258"/>
      <c r="H17" s="178">
        <f t="shared" si="2"/>
        <v>0</v>
      </c>
      <c r="I17" s="462"/>
      <c r="J17" s="527">
        <f>Tableau1[[#This Row],[T de MS]]*Tableau1[[#This Row],[VEM/T de MS]]</f>
        <v>0</v>
      </c>
      <c r="K17" s="481"/>
      <c r="L17" s="541">
        <f>Tableau1[[#This Row],[Kg de DVE/T de MS]]*Tableau1[[#This Row],[T de MS]]</f>
        <v>0</v>
      </c>
    </row>
    <row r="18" spans="2:12" ht="19" thickBot="1" x14ac:dyDescent="0.5">
      <c r="B18" s="41"/>
      <c r="C18" s="336" t="s">
        <v>175</v>
      </c>
      <c r="D18" s="414"/>
      <c r="E18" s="271"/>
      <c r="F18" s="420">
        <f t="shared" si="3"/>
        <v>0</v>
      </c>
      <c r="G18" s="259"/>
      <c r="H18" s="179">
        <f t="shared" si="2"/>
        <v>0</v>
      </c>
      <c r="I18" s="463"/>
      <c r="J18" s="534">
        <f>Tableau1[[#This Row],[T de MS]]*Tableau1[[#This Row],[VEM/T de MS]]</f>
        <v>0</v>
      </c>
      <c r="K18" s="485"/>
      <c r="L18" s="542">
        <f>Tableau1[[#This Row],[Kg de DVE/T de MS]]*Tableau1[[#This Row],[T de MS]]</f>
        <v>0</v>
      </c>
    </row>
    <row r="19" spans="2:12" ht="19" thickBot="1" x14ac:dyDescent="0.5">
      <c r="B19" s="39" t="s">
        <v>4</v>
      </c>
      <c r="C19" s="437"/>
      <c r="D19" s="416"/>
      <c r="E19" s="421"/>
      <c r="F19" s="418">
        <f>$D19*$E19</f>
        <v>0</v>
      </c>
      <c r="G19" s="257"/>
      <c r="H19" s="177">
        <f t="shared" si="2"/>
        <v>0</v>
      </c>
      <c r="I19" s="461"/>
      <c r="J19" s="535">
        <f>Tableau1[[#This Row],[T de MS]]*Tableau1[[#This Row],[VEM/T de MS]]</f>
        <v>0</v>
      </c>
      <c r="K19" s="484"/>
      <c r="L19" s="540">
        <f>Tableau1[[#This Row],[Kg de DVE/T de MS]]*Tableau1[[#This Row],[T de MS]]</f>
        <v>0</v>
      </c>
    </row>
    <row r="20" spans="2:12" ht="19" thickBot="1" x14ac:dyDescent="0.5">
      <c r="B20" s="40"/>
      <c r="C20" s="437"/>
      <c r="D20" s="434">
        <f>D19</f>
        <v>0</v>
      </c>
      <c r="E20" s="271"/>
      <c r="F20" s="422">
        <f>$D$19*$E20</f>
        <v>0</v>
      </c>
      <c r="G20" s="259"/>
      <c r="H20" s="179">
        <f t="shared" si="2"/>
        <v>0</v>
      </c>
      <c r="I20" s="463"/>
      <c r="J20" s="536">
        <f>Tableau1[[#This Row],[T de MS]]*Tableau1[[#This Row],[VEM/T de MS]]</f>
        <v>0</v>
      </c>
      <c r="K20" s="485"/>
      <c r="L20" s="542">
        <f>Tableau1[[#This Row],[Kg de DVE/T de MS]]*Tableau1[[#This Row],[T de MS]]</f>
        <v>0</v>
      </c>
    </row>
    <row r="21" spans="2:12" s="14" customFormat="1" ht="19" thickBot="1" x14ac:dyDescent="0.5">
      <c r="B21" s="40"/>
      <c r="C21" s="437"/>
      <c r="D21" s="283"/>
      <c r="E21" s="421"/>
      <c r="F21" s="423">
        <f>$D21*$E21</f>
        <v>0</v>
      </c>
      <c r="G21" s="261"/>
      <c r="H21" s="180">
        <f t="shared" si="2"/>
        <v>0</v>
      </c>
      <c r="I21" s="464"/>
      <c r="J21" s="535">
        <f>Tableau1[[#This Row],[T de MS]]*Tableau1[[#This Row],[VEM/T de MS]]</f>
        <v>0</v>
      </c>
      <c r="K21" s="486"/>
      <c r="L21" s="540">
        <f>Tableau1[[#This Row],[Kg de DVE/T de MS]]*Tableau1[[#This Row],[T de MS]]</f>
        <v>0</v>
      </c>
    </row>
    <row r="22" spans="2:12" s="14" customFormat="1" ht="19" thickBot="1" x14ac:dyDescent="0.5">
      <c r="B22" s="49"/>
      <c r="C22" s="437"/>
      <c r="D22" s="434">
        <f>D21</f>
        <v>0</v>
      </c>
      <c r="E22" s="271"/>
      <c r="F22" s="422">
        <f>$D$21*$E22</f>
        <v>0</v>
      </c>
      <c r="G22" s="259"/>
      <c r="H22" s="179">
        <f>$F22*$G22</f>
        <v>0</v>
      </c>
      <c r="I22" s="463"/>
      <c r="J22" s="536">
        <f>Tableau1[[#This Row],[T de MS]]*Tableau1[[#This Row],[VEM/T de MS]]</f>
        <v>0</v>
      </c>
      <c r="K22" s="485"/>
      <c r="L22" s="542">
        <f>Tableau1[[#This Row],[Kg de DVE/T de MS]]*Tableau1[[#This Row],[T de MS]]</f>
        <v>0</v>
      </c>
    </row>
    <row r="23" spans="2:12" s="14" customFormat="1" ht="19" thickBot="1" x14ac:dyDescent="0.5">
      <c r="B23" s="40"/>
      <c r="C23" s="437"/>
      <c r="D23" s="283"/>
      <c r="E23" s="421"/>
      <c r="F23" s="426">
        <f>$D23*$E23</f>
        <v>0</v>
      </c>
      <c r="G23" s="429"/>
      <c r="H23" s="177">
        <f>$F23*$G23</f>
        <v>0</v>
      </c>
      <c r="I23" s="464"/>
      <c r="J23" s="535">
        <f>Tableau1[[#This Row],[T de MS]]*Tableau1[[#This Row],[VEM/T de MS]]</f>
        <v>0</v>
      </c>
      <c r="K23" s="486"/>
      <c r="L23" s="540">
        <f>Tableau1[[#This Row],[Kg de DVE/T de MS]]*Tableau1[[#This Row],[T de MS]]</f>
        <v>0</v>
      </c>
    </row>
    <row r="24" spans="2:12" s="14" customFormat="1" ht="19" thickBot="1" x14ac:dyDescent="0.5">
      <c r="B24" s="425"/>
      <c r="C24" s="437"/>
      <c r="D24" s="435">
        <f>D23</f>
        <v>0</v>
      </c>
      <c r="E24" s="271"/>
      <c r="F24" s="427">
        <f>$D$23*Tableau1[[#This Row],[Rdmt (T/Ha)]]</f>
        <v>0</v>
      </c>
      <c r="G24" s="430"/>
      <c r="H24" s="179">
        <f>Tableau1[[#This Row],[Rdmt MF]]*Tableau1[[#This Row],[% MS]]</f>
        <v>0</v>
      </c>
      <c r="I24" s="463"/>
      <c r="J24" s="536">
        <f>Tableau1[[#This Row],[T de MS]]*Tableau1[[#This Row],[VEM/T de MS]]</f>
        <v>0</v>
      </c>
      <c r="K24" s="485"/>
      <c r="L24" s="542">
        <f>Tableau1[[#This Row],[Kg de DVE/T de MS]]*Tableau1[[#This Row],[T de MS]]</f>
        <v>0</v>
      </c>
    </row>
    <row r="25" spans="2:12" s="14" customFormat="1" ht="19" thickBot="1" x14ac:dyDescent="0.5">
      <c r="B25" s="40"/>
      <c r="C25" s="437"/>
      <c r="D25" s="283"/>
      <c r="E25" s="273"/>
      <c r="F25" s="426">
        <f>Tableau1[[#This Row],[Superficie (Ha)]]*Tableau1[[#This Row],[Rdmt (T/Ha)]]</f>
        <v>0</v>
      </c>
      <c r="G25" s="431"/>
      <c r="H25" s="180">
        <f>Tableau1[[#This Row],[Rdmt MF]]*Tableau1[[#This Row],[% MS]]</f>
        <v>0</v>
      </c>
      <c r="I25" s="464"/>
      <c r="J25" s="535">
        <f>Tableau1[[#This Row],[T de MS]]*Tableau1[[#This Row],[VEM/T de MS]]</f>
        <v>0</v>
      </c>
      <c r="K25" s="486"/>
      <c r="L25" s="540">
        <f>Tableau1[[#This Row],[Kg de DVE/T de MS]]*Tableau1[[#This Row],[T de MS]]</f>
        <v>0</v>
      </c>
    </row>
    <row r="26" spans="2:12" s="14" customFormat="1" ht="19" thickBot="1" x14ac:dyDescent="0.5">
      <c r="B26" s="40"/>
      <c r="C26" s="437"/>
      <c r="D26" s="434">
        <f>D25</f>
        <v>0</v>
      </c>
      <c r="E26" s="264"/>
      <c r="F26" s="427">
        <f>$D$25*Tableau1[[#This Row],[Rdmt (T/Ha)]]</f>
        <v>0</v>
      </c>
      <c r="G26" s="430"/>
      <c r="H26" s="179">
        <f>Tableau1[[#This Row],[Rdmt MF]]*Tableau1[[#This Row],[% MS]]</f>
        <v>0</v>
      </c>
      <c r="I26" s="463"/>
      <c r="J26" s="536">
        <f>Tableau1[[#This Row],[T de MS]]*Tableau1[[#This Row],[VEM/T de MS]]</f>
        <v>0</v>
      </c>
      <c r="K26" s="485"/>
      <c r="L26" s="542">
        <f>Tableau1[[#This Row],[Kg de DVE/T de MS]]*Tableau1[[#This Row],[T de MS]]</f>
        <v>0</v>
      </c>
    </row>
    <row r="27" spans="2:12" s="14" customFormat="1" ht="19" thickBot="1" x14ac:dyDescent="0.5">
      <c r="B27" s="40"/>
      <c r="C27" s="437"/>
      <c r="D27" s="283"/>
      <c r="E27" s="273"/>
      <c r="F27" s="426">
        <f>Tableau1[[#This Row],[Superficie (Ha)]]*Tableau1[[#This Row],[Rdmt (T/Ha)]]</f>
        <v>0</v>
      </c>
      <c r="G27" s="431"/>
      <c r="H27" s="180">
        <f>Tableau1[[#This Row],[Rdmt MF]]*Tableau1[[#This Row],[% MS]]</f>
        <v>0</v>
      </c>
      <c r="I27" s="464"/>
      <c r="J27" s="535">
        <f>Tableau1[[#This Row],[T de MS]]*Tableau1[[#This Row],[VEM/T de MS]]</f>
        <v>0</v>
      </c>
      <c r="K27" s="486"/>
      <c r="L27" s="540">
        <f>Tableau1[[#This Row],[Kg de DVE/T de MS]]*Tableau1[[#This Row],[T de MS]]</f>
        <v>0</v>
      </c>
    </row>
    <row r="28" spans="2:12" ht="19" thickBot="1" x14ac:dyDescent="0.5">
      <c r="B28" s="40"/>
      <c r="C28" s="437"/>
      <c r="D28" s="434">
        <f>D27</f>
        <v>0</v>
      </c>
      <c r="E28" s="264"/>
      <c r="F28" s="427">
        <f>$D$27*Tableau1[[#This Row],[Rdmt (T/Ha)]]</f>
        <v>0</v>
      </c>
      <c r="G28" s="430"/>
      <c r="H28" s="179">
        <f>Tableau1[[#This Row],[Rdmt MF]]*Tableau1[[#This Row],[% MS]]</f>
        <v>0</v>
      </c>
      <c r="I28" s="463"/>
      <c r="J28" s="536">
        <f>Tableau1[[#This Row],[T de MS]]*Tableau1[[#This Row],[VEM/T de MS]]</f>
        <v>0</v>
      </c>
      <c r="K28" s="485"/>
      <c r="L28" s="542">
        <f>Tableau1[[#This Row],[Kg de DVE/T de MS]]*Tableau1[[#This Row],[T de MS]]</f>
        <v>0</v>
      </c>
    </row>
    <row r="29" spans="2:12" ht="19" thickBot="1" x14ac:dyDescent="0.5">
      <c r="B29" s="40"/>
      <c r="C29" s="437"/>
      <c r="D29" s="283"/>
      <c r="E29" s="273"/>
      <c r="F29" s="426">
        <f>Tableau1[[#This Row],[Superficie (Ha)]]*Tableau1[[#This Row],[Rdmt (T/Ha)]]</f>
        <v>0</v>
      </c>
      <c r="G29" s="431"/>
      <c r="H29" s="180">
        <f>Tableau1[[#This Row],[Rdmt MF]]*Tableau1[[#This Row],[% MS]]</f>
        <v>0</v>
      </c>
      <c r="I29" s="464"/>
      <c r="J29" s="535">
        <f>Tableau1[[#This Row],[T de MS]]*Tableau1[[#This Row],[VEM/T de MS]]</f>
        <v>0</v>
      </c>
      <c r="K29" s="486"/>
      <c r="L29" s="540">
        <f>Tableau1[[#This Row],[Kg de DVE/T de MS]]*Tableau1[[#This Row],[T de MS]]</f>
        <v>0</v>
      </c>
    </row>
    <row r="30" spans="2:12" ht="19" thickBot="1" x14ac:dyDescent="0.5">
      <c r="B30" s="417"/>
      <c r="C30" s="437"/>
      <c r="D30" s="436">
        <f>D29</f>
        <v>0</v>
      </c>
      <c r="E30" s="415"/>
      <c r="F30" s="427">
        <f>$D$29*Tableau1[[#This Row],[Rdmt (T/Ha)]]</f>
        <v>0</v>
      </c>
      <c r="G30" s="432"/>
      <c r="H30" s="424">
        <f>Tableau1[[#This Row],[Rdmt MF]]*Tableau1[[#This Row],[% MS]]</f>
        <v>0</v>
      </c>
      <c r="I30" s="465"/>
      <c r="J30" s="536">
        <f>Tableau1[[#This Row],[T de MS]]*Tableau1[[#This Row],[VEM/T de MS]]</f>
        <v>0</v>
      </c>
      <c r="K30" s="483"/>
      <c r="L30" s="542">
        <f>Tableau1[[#This Row],[Kg de DVE/T de MS]]*Tableau1[[#This Row],[T de MS]]</f>
        <v>0</v>
      </c>
    </row>
    <row r="31" spans="2:12" ht="18.5" x14ac:dyDescent="0.45">
      <c r="B31" s="39" t="s">
        <v>176</v>
      </c>
      <c r="C31" s="338"/>
      <c r="D31" s="266"/>
      <c r="E31" s="267"/>
      <c r="F31" s="426">
        <f t="shared" si="3"/>
        <v>0</v>
      </c>
      <c r="G31" s="429"/>
      <c r="H31" s="177">
        <f t="shared" si="2"/>
        <v>0</v>
      </c>
      <c r="I31" s="461"/>
      <c r="J31" s="535">
        <f>Tableau1[[#This Row],[T de MS]]*Tableau1[[#This Row],[VEM/T de MS]]</f>
        <v>0</v>
      </c>
      <c r="K31" s="484"/>
      <c r="L31" s="540">
        <f>Tableau1[[#This Row],[Kg de DVE/T de MS]]*Tableau1[[#This Row],[T de MS]]</f>
        <v>0</v>
      </c>
    </row>
    <row r="32" spans="2:12" ht="18.5" x14ac:dyDescent="0.45">
      <c r="B32" s="204"/>
      <c r="C32" s="337"/>
      <c r="D32" s="268"/>
      <c r="E32" s="269"/>
      <c r="F32" s="428">
        <f>$D32*$E32</f>
        <v>0</v>
      </c>
      <c r="G32" s="433"/>
      <c r="H32" s="178">
        <f t="shared" si="2"/>
        <v>0</v>
      </c>
      <c r="I32" s="462"/>
      <c r="J32" s="527">
        <f>Tableau1[[#This Row],[T de MS]]*Tableau1[[#This Row],[VEM/T de MS]]</f>
        <v>0</v>
      </c>
      <c r="K32" s="481"/>
      <c r="L32" s="541">
        <f>Tableau1[[#This Row],[Kg de DVE/T de MS]]*Tableau1[[#This Row],[T de MS]]</f>
        <v>0</v>
      </c>
    </row>
    <row r="33" spans="2:12" ht="18.5" x14ac:dyDescent="0.45">
      <c r="B33" s="204"/>
      <c r="C33" s="337"/>
      <c r="D33" s="268"/>
      <c r="E33" s="269"/>
      <c r="F33" s="428">
        <f>$D33*$E33</f>
        <v>0</v>
      </c>
      <c r="G33" s="433"/>
      <c r="H33" s="178">
        <f t="shared" si="2"/>
        <v>0</v>
      </c>
      <c r="I33" s="462"/>
      <c r="J33" s="527">
        <f>Tableau1[[#This Row],[T de MS]]*Tableau1[[#This Row],[VEM/T de MS]]</f>
        <v>0</v>
      </c>
      <c r="K33" s="481"/>
      <c r="L33" s="541">
        <f>Tableau1[[#This Row],[Kg de DVE/T de MS]]*Tableau1[[#This Row],[T de MS]]</f>
        <v>0</v>
      </c>
    </row>
    <row r="34" spans="2:12" ht="19" thickBot="1" x14ac:dyDescent="0.5">
      <c r="B34" s="205"/>
      <c r="C34" s="340"/>
      <c r="D34" s="270"/>
      <c r="E34" s="271"/>
      <c r="F34" s="427">
        <f t="shared" si="3"/>
        <v>0</v>
      </c>
      <c r="G34" s="430"/>
      <c r="H34" s="179">
        <f t="shared" si="2"/>
        <v>0</v>
      </c>
      <c r="I34" s="463"/>
      <c r="J34" s="536">
        <f>Tableau1[[#This Row],[T de MS]]*Tableau1[[#This Row],[VEM/T de MS]]</f>
        <v>0</v>
      </c>
      <c r="K34" s="485"/>
      <c r="L34" s="542">
        <f>Tableau1[[#This Row],[Kg de DVE/T de MS]]*Tableau1[[#This Row],[T de MS]]</f>
        <v>0</v>
      </c>
    </row>
    <row r="35" spans="2:12" ht="18.5" x14ac:dyDescent="0.45">
      <c r="B35" s="202" t="s">
        <v>7</v>
      </c>
      <c r="C35" s="336" t="s">
        <v>11</v>
      </c>
      <c r="D35" s="272"/>
      <c r="E35" s="273"/>
      <c r="F35" s="203">
        <f>$D$35*$E35</f>
        <v>0</v>
      </c>
      <c r="G35" s="261"/>
      <c r="H35" s="180">
        <f t="shared" si="2"/>
        <v>0</v>
      </c>
      <c r="I35" s="464"/>
      <c r="J35" s="535">
        <f>Tableau1[[#This Row],[T de MS]]*Tableau1[[#This Row],[VEM/T de MS]]</f>
        <v>0</v>
      </c>
      <c r="K35" s="486"/>
      <c r="L35" s="540">
        <f>Tableau1[[#This Row],[Kg de DVE/T de MS]]*Tableau1[[#This Row],[T de MS]]</f>
        <v>0</v>
      </c>
    </row>
    <row r="36" spans="2:12" ht="18.5" x14ac:dyDescent="0.45">
      <c r="B36" s="40"/>
      <c r="C36" s="337" t="s">
        <v>12</v>
      </c>
      <c r="D36" s="33">
        <f>D35</f>
        <v>0</v>
      </c>
      <c r="E36" s="256"/>
      <c r="F36" s="172">
        <f t="shared" ref="F36:F39" si="4">$D$35*$E36</f>
        <v>0</v>
      </c>
      <c r="G36" s="258"/>
      <c r="H36" s="178">
        <f t="shared" si="2"/>
        <v>0</v>
      </c>
      <c r="I36" s="462"/>
      <c r="J36" s="527">
        <f>Tableau1[[#This Row],[T de MS]]*Tableau1[[#This Row],[VEM/T de MS]]</f>
        <v>0</v>
      </c>
      <c r="K36" s="481"/>
      <c r="L36" s="541">
        <f>Tableau1[[#This Row],[Kg de DVE/T de MS]]*Tableau1[[#This Row],[T de MS]]</f>
        <v>0</v>
      </c>
    </row>
    <row r="37" spans="2:12" ht="18.5" x14ac:dyDescent="0.45">
      <c r="B37" s="40"/>
      <c r="C37" s="337" t="s">
        <v>13</v>
      </c>
      <c r="D37" s="33">
        <f t="shared" ref="D37:D39" si="5">D36</f>
        <v>0</v>
      </c>
      <c r="E37" s="256"/>
      <c r="F37" s="172">
        <f t="shared" si="4"/>
        <v>0</v>
      </c>
      <c r="G37" s="258"/>
      <c r="H37" s="178">
        <f t="shared" si="2"/>
        <v>0</v>
      </c>
      <c r="I37" s="462"/>
      <c r="J37" s="527">
        <f>Tableau1[[#This Row],[T de MS]]*Tableau1[[#This Row],[VEM/T de MS]]</f>
        <v>0</v>
      </c>
      <c r="K37" s="481"/>
      <c r="L37" s="541">
        <f>Tableau1[[#This Row],[Kg de DVE/T de MS]]*Tableau1[[#This Row],[T de MS]]</f>
        <v>0</v>
      </c>
    </row>
    <row r="38" spans="2:12" ht="18.5" x14ac:dyDescent="0.45">
      <c r="B38" s="40"/>
      <c r="C38" s="337" t="s">
        <v>14</v>
      </c>
      <c r="D38" s="33">
        <f t="shared" si="5"/>
        <v>0</v>
      </c>
      <c r="E38" s="256"/>
      <c r="F38" s="172">
        <f t="shared" si="4"/>
        <v>0</v>
      </c>
      <c r="G38" s="258"/>
      <c r="H38" s="178">
        <f t="shared" si="2"/>
        <v>0</v>
      </c>
      <c r="I38" s="462"/>
      <c r="J38" s="527">
        <f>Tableau1[[#This Row],[T de MS]]*Tableau1[[#This Row],[VEM/T de MS]]</f>
        <v>0</v>
      </c>
      <c r="K38" s="481"/>
      <c r="L38" s="541">
        <f>Tableau1[[#This Row],[Kg de DVE/T de MS]]*Tableau1[[#This Row],[T de MS]]</f>
        <v>0</v>
      </c>
    </row>
    <row r="39" spans="2:12" ht="19" thickBot="1" x14ac:dyDescent="0.5">
      <c r="B39" s="41"/>
      <c r="C39" s="340" t="s">
        <v>15</v>
      </c>
      <c r="D39" s="33">
        <f t="shared" si="5"/>
        <v>0</v>
      </c>
      <c r="E39" s="264"/>
      <c r="F39" s="173">
        <f t="shared" si="4"/>
        <v>0</v>
      </c>
      <c r="G39" s="259"/>
      <c r="H39" s="179">
        <f t="shared" si="2"/>
        <v>0</v>
      </c>
      <c r="I39" s="463"/>
      <c r="J39" s="536">
        <f>Tableau1[[#This Row],[T de MS]]*Tableau1[[#This Row],[VEM/T de MS]]</f>
        <v>0</v>
      </c>
      <c r="K39" s="485"/>
      <c r="L39" s="542">
        <f>Tableau1[[#This Row],[Kg de DVE/T de MS]]*Tableau1[[#This Row],[T de MS]]</f>
        <v>0</v>
      </c>
    </row>
    <row r="40" spans="2:12" ht="18.5" x14ac:dyDescent="0.45">
      <c r="B40" s="39" t="s">
        <v>8</v>
      </c>
      <c r="C40" s="338" t="s">
        <v>11</v>
      </c>
      <c r="D40" s="265"/>
      <c r="E40" s="262"/>
      <c r="F40" s="171">
        <f>$D$40*$E40</f>
        <v>0</v>
      </c>
      <c r="G40" s="257"/>
      <c r="H40" s="177">
        <f t="shared" si="2"/>
        <v>0</v>
      </c>
      <c r="I40" s="461"/>
      <c r="J40" s="535">
        <f>Tableau1[[#This Row],[T de MS]]*Tableau1[[#This Row],[VEM/T de MS]]</f>
        <v>0</v>
      </c>
      <c r="K40" s="484"/>
      <c r="L40" s="540">
        <f>Tableau1[[#This Row],[Kg de DVE/T de MS]]*Tableau1[[#This Row],[T de MS]]</f>
        <v>0</v>
      </c>
    </row>
    <row r="41" spans="2:12" ht="18.5" x14ac:dyDescent="0.45">
      <c r="B41" s="40"/>
      <c r="C41" s="337" t="s">
        <v>12</v>
      </c>
      <c r="D41" s="168">
        <f>D40</f>
        <v>0</v>
      </c>
      <c r="E41" s="256"/>
      <c r="F41" s="172">
        <f>$D$40*$E41</f>
        <v>0</v>
      </c>
      <c r="G41" s="258"/>
      <c r="H41" s="178">
        <f t="shared" si="2"/>
        <v>0</v>
      </c>
      <c r="I41" s="462"/>
      <c r="J41" s="527">
        <f>Tableau1[[#This Row],[T de MS]]*Tableau1[[#This Row],[VEM/T de MS]]</f>
        <v>0</v>
      </c>
      <c r="K41" s="481"/>
      <c r="L41" s="541">
        <f>Tableau1[[#This Row],[Kg de DVE/T de MS]]*Tableau1[[#This Row],[T de MS]]</f>
        <v>0</v>
      </c>
    </row>
    <row r="42" spans="2:12" ht="18.5" x14ac:dyDescent="0.45">
      <c r="B42" s="40"/>
      <c r="C42" s="337" t="s">
        <v>13</v>
      </c>
      <c r="D42" s="168">
        <f>D41</f>
        <v>0</v>
      </c>
      <c r="E42" s="256"/>
      <c r="F42" s="172">
        <f t="shared" ref="F42:F44" si="6">$D$40*$E42</f>
        <v>0</v>
      </c>
      <c r="G42" s="258"/>
      <c r="H42" s="178">
        <f t="shared" si="2"/>
        <v>0</v>
      </c>
      <c r="I42" s="462"/>
      <c r="J42" s="527">
        <f>Tableau1[[#This Row],[T de MS]]*Tableau1[[#This Row],[VEM/T de MS]]</f>
        <v>0</v>
      </c>
      <c r="K42" s="481"/>
      <c r="L42" s="541">
        <f>Tableau1[[#This Row],[Kg de DVE/T de MS]]*Tableau1[[#This Row],[T de MS]]</f>
        <v>0</v>
      </c>
    </row>
    <row r="43" spans="2:12" ht="18.5" x14ac:dyDescent="0.45">
      <c r="B43" s="40"/>
      <c r="C43" s="337" t="s">
        <v>14</v>
      </c>
      <c r="D43" s="168">
        <f t="shared" ref="D43:D44" si="7">D42</f>
        <v>0</v>
      </c>
      <c r="E43" s="256"/>
      <c r="F43" s="172">
        <f t="shared" si="6"/>
        <v>0</v>
      </c>
      <c r="G43" s="258"/>
      <c r="H43" s="178">
        <f t="shared" si="2"/>
        <v>0</v>
      </c>
      <c r="I43" s="462"/>
      <c r="J43" s="527">
        <f>Tableau1[[#This Row],[T de MS]]*Tableau1[[#This Row],[VEM/T de MS]]</f>
        <v>0</v>
      </c>
      <c r="K43" s="481"/>
      <c r="L43" s="541">
        <f>Tableau1[[#This Row],[Kg de DVE/T de MS]]*Tableau1[[#This Row],[T de MS]]</f>
        <v>0</v>
      </c>
    </row>
    <row r="44" spans="2:12" ht="19" thickBot="1" x14ac:dyDescent="0.5">
      <c r="B44" s="41"/>
      <c r="C44" s="340" t="s">
        <v>15</v>
      </c>
      <c r="D44" s="168">
        <f t="shared" si="7"/>
        <v>0</v>
      </c>
      <c r="E44" s="264"/>
      <c r="F44" s="173">
        <f t="shared" si="6"/>
        <v>0</v>
      </c>
      <c r="G44" s="259"/>
      <c r="H44" s="179">
        <f t="shared" si="2"/>
        <v>0</v>
      </c>
      <c r="I44" s="463"/>
      <c r="J44" s="536">
        <f>Tableau1[[#This Row],[T de MS]]*Tableau1[[#This Row],[VEM/T de MS]]</f>
        <v>0</v>
      </c>
      <c r="K44" s="485"/>
      <c r="L44" s="542">
        <f>Tableau1[[#This Row],[Kg de DVE/T de MS]]*Tableau1[[#This Row],[T de MS]]</f>
        <v>0</v>
      </c>
    </row>
    <row r="45" spans="2:12" ht="18.5" x14ac:dyDescent="0.45">
      <c r="B45" s="39" t="s">
        <v>16</v>
      </c>
      <c r="C45" s="338" t="s">
        <v>11</v>
      </c>
      <c r="D45" s="265"/>
      <c r="E45" s="262"/>
      <c r="F45" s="171">
        <f>$D$45*$E45</f>
        <v>0</v>
      </c>
      <c r="G45" s="257"/>
      <c r="H45" s="177">
        <f t="shared" si="2"/>
        <v>0</v>
      </c>
      <c r="I45" s="461"/>
      <c r="J45" s="535">
        <f>Tableau1[[#This Row],[T de MS]]*Tableau1[[#This Row],[VEM/T de MS]]</f>
        <v>0</v>
      </c>
      <c r="K45" s="484"/>
      <c r="L45" s="540">
        <f>Tableau1[[#This Row],[Kg de DVE/T de MS]]*Tableau1[[#This Row],[T de MS]]</f>
        <v>0</v>
      </c>
    </row>
    <row r="46" spans="2:12" ht="18.5" x14ac:dyDescent="0.45">
      <c r="B46" s="40"/>
      <c r="C46" s="337" t="s">
        <v>12</v>
      </c>
      <c r="D46" s="168">
        <f>D45</f>
        <v>0</v>
      </c>
      <c r="E46" s="256"/>
      <c r="F46" s="172">
        <f>$D$45*$E46</f>
        <v>0</v>
      </c>
      <c r="G46" s="258"/>
      <c r="H46" s="178">
        <f t="shared" si="2"/>
        <v>0</v>
      </c>
      <c r="I46" s="462"/>
      <c r="J46" s="527">
        <f>Tableau1[[#This Row],[T de MS]]*Tableau1[[#This Row],[VEM/T de MS]]</f>
        <v>0</v>
      </c>
      <c r="K46" s="481"/>
      <c r="L46" s="541">
        <f>Tableau1[[#This Row],[Kg de DVE/T de MS]]*Tableau1[[#This Row],[T de MS]]</f>
        <v>0</v>
      </c>
    </row>
    <row r="47" spans="2:12" ht="18.5" x14ac:dyDescent="0.45">
      <c r="B47" s="40"/>
      <c r="C47" s="337" t="s">
        <v>13</v>
      </c>
      <c r="D47" s="168">
        <f t="shared" ref="D47:D49" si="8">D46</f>
        <v>0</v>
      </c>
      <c r="E47" s="256"/>
      <c r="F47" s="172">
        <f>$D$45*$E47</f>
        <v>0</v>
      </c>
      <c r="G47" s="258"/>
      <c r="H47" s="178">
        <f t="shared" si="2"/>
        <v>0</v>
      </c>
      <c r="I47" s="462"/>
      <c r="J47" s="527">
        <f>Tableau1[[#This Row],[T de MS]]*Tableau1[[#This Row],[VEM/T de MS]]</f>
        <v>0</v>
      </c>
      <c r="K47" s="481"/>
      <c r="L47" s="541">
        <f>Tableau1[[#This Row],[Kg de DVE/T de MS]]*Tableau1[[#This Row],[T de MS]]</f>
        <v>0</v>
      </c>
    </row>
    <row r="48" spans="2:12" ht="18.5" x14ac:dyDescent="0.45">
      <c r="B48" s="40"/>
      <c r="C48" s="337" t="s">
        <v>14</v>
      </c>
      <c r="D48" s="168">
        <f t="shared" si="8"/>
        <v>0</v>
      </c>
      <c r="E48" s="256"/>
      <c r="F48" s="172">
        <f>$D$45*$E48</f>
        <v>0</v>
      </c>
      <c r="G48" s="258"/>
      <c r="H48" s="178">
        <f t="shared" si="2"/>
        <v>0</v>
      </c>
      <c r="I48" s="462"/>
      <c r="J48" s="527">
        <f>Tableau1[[#This Row],[T de MS]]*Tableau1[[#This Row],[VEM/T de MS]]</f>
        <v>0</v>
      </c>
      <c r="K48" s="481"/>
      <c r="L48" s="541">
        <f>Tableau1[[#This Row],[Kg de DVE/T de MS]]*Tableau1[[#This Row],[T de MS]]</f>
        <v>0</v>
      </c>
    </row>
    <row r="49" spans="2:12" ht="19" thickBot="1" x14ac:dyDescent="0.5">
      <c r="B49" s="41"/>
      <c r="C49" s="340" t="s">
        <v>15</v>
      </c>
      <c r="D49" s="168">
        <f t="shared" si="8"/>
        <v>0</v>
      </c>
      <c r="E49" s="264"/>
      <c r="F49" s="173">
        <f>$D$45*$E49</f>
        <v>0</v>
      </c>
      <c r="G49" s="259"/>
      <c r="H49" s="179">
        <f t="shared" si="2"/>
        <v>0</v>
      </c>
      <c r="I49" s="463"/>
      <c r="J49" s="536">
        <f>Tableau1[[#This Row],[T de MS]]*Tableau1[[#This Row],[VEM/T de MS]]</f>
        <v>0</v>
      </c>
      <c r="K49" s="485"/>
      <c r="L49" s="542">
        <f>Tableau1[[#This Row],[Kg de DVE/T de MS]]*Tableau1[[#This Row],[T de MS]]</f>
        <v>0</v>
      </c>
    </row>
    <row r="50" spans="2:12" ht="18.5" x14ac:dyDescent="0.45">
      <c r="B50" s="39" t="s">
        <v>9</v>
      </c>
      <c r="C50" s="338" t="s">
        <v>11</v>
      </c>
      <c r="D50" s="265"/>
      <c r="E50" s="262"/>
      <c r="F50" s="171">
        <f>$D$50*$E50</f>
        <v>0</v>
      </c>
      <c r="G50" s="257"/>
      <c r="H50" s="177">
        <f t="shared" si="2"/>
        <v>0</v>
      </c>
      <c r="I50" s="461"/>
      <c r="J50" s="535">
        <f>Tableau1[[#This Row],[T de MS]]*Tableau1[[#This Row],[VEM/T de MS]]</f>
        <v>0</v>
      </c>
      <c r="K50" s="484"/>
      <c r="L50" s="540">
        <f>Tableau1[[#This Row],[Kg de DVE/T de MS]]*Tableau1[[#This Row],[T de MS]]</f>
        <v>0</v>
      </c>
    </row>
    <row r="51" spans="2:12" ht="18.5" x14ac:dyDescent="0.45">
      <c r="B51" s="40"/>
      <c r="C51" s="337" t="s">
        <v>12</v>
      </c>
      <c r="D51" s="168">
        <f>D50</f>
        <v>0</v>
      </c>
      <c r="E51" s="256"/>
      <c r="F51" s="172">
        <f t="shared" ref="F51:F54" si="9">$D$50*$E51</f>
        <v>0</v>
      </c>
      <c r="G51" s="258"/>
      <c r="H51" s="178">
        <f t="shared" si="2"/>
        <v>0</v>
      </c>
      <c r="I51" s="462"/>
      <c r="J51" s="527">
        <f>Tableau1[[#This Row],[T de MS]]*Tableau1[[#This Row],[VEM/T de MS]]</f>
        <v>0</v>
      </c>
      <c r="K51" s="481"/>
      <c r="L51" s="541">
        <f>Tableau1[[#This Row],[Kg de DVE/T de MS]]*Tableau1[[#This Row],[T de MS]]</f>
        <v>0</v>
      </c>
    </row>
    <row r="52" spans="2:12" ht="18.5" x14ac:dyDescent="0.45">
      <c r="B52" s="40"/>
      <c r="C52" s="337" t="s">
        <v>13</v>
      </c>
      <c r="D52" s="168">
        <f t="shared" ref="D52:D54" si="10">D51</f>
        <v>0</v>
      </c>
      <c r="E52" s="256"/>
      <c r="F52" s="172">
        <f t="shared" si="9"/>
        <v>0</v>
      </c>
      <c r="G52" s="258"/>
      <c r="H52" s="178">
        <f t="shared" si="2"/>
        <v>0</v>
      </c>
      <c r="I52" s="462"/>
      <c r="J52" s="527">
        <f>Tableau1[[#This Row],[T de MS]]*Tableau1[[#This Row],[VEM/T de MS]]</f>
        <v>0</v>
      </c>
      <c r="K52" s="481"/>
      <c r="L52" s="541">
        <f>Tableau1[[#This Row],[Kg de DVE/T de MS]]*Tableau1[[#This Row],[T de MS]]</f>
        <v>0</v>
      </c>
    </row>
    <row r="53" spans="2:12" ht="18.5" x14ac:dyDescent="0.45">
      <c r="B53" s="40"/>
      <c r="C53" s="337" t="s">
        <v>14</v>
      </c>
      <c r="D53" s="168">
        <f t="shared" si="10"/>
        <v>0</v>
      </c>
      <c r="E53" s="256"/>
      <c r="F53" s="172">
        <f t="shared" si="9"/>
        <v>0</v>
      </c>
      <c r="G53" s="258"/>
      <c r="H53" s="178">
        <f t="shared" si="2"/>
        <v>0</v>
      </c>
      <c r="I53" s="462"/>
      <c r="J53" s="527">
        <f>Tableau1[[#This Row],[T de MS]]*Tableau1[[#This Row],[VEM/T de MS]]</f>
        <v>0</v>
      </c>
      <c r="K53" s="481"/>
      <c r="L53" s="541">
        <f>Tableau1[[#This Row],[Kg de DVE/T de MS]]*Tableau1[[#This Row],[T de MS]]</f>
        <v>0</v>
      </c>
    </row>
    <row r="54" spans="2:12" ht="19" thickBot="1" x14ac:dyDescent="0.5">
      <c r="B54" s="41"/>
      <c r="C54" s="340" t="s">
        <v>15</v>
      </c>
      <c r="D54" s="168">
        <f t="shared" si="10"/>
        <v>0</v>
      </c>
      <c r="E54" s="264"/>
      <c r="F54" s="173">
        <f t="shared" si="9"/>
        <v>0</v>
      </c>
      <c r="G54" s="259"/>
      <c r="H54" s="179">
        <f t="shared" si="2"/>
        <v>0</v>
      </c>
      <c r="I54" s="463"/>
      <c r="J54" s="536">
        <f>Tableau1[[#This Row],[T de MS]]*Tableau1[[#This Row],[VEM/T de MS]]</f>
        <v>0</v>
      </c>
      <c r="K54" s="485"/>
      <c r="L54" s="542">
        <f>Tableau1[[#This Row],[Kg de DVE/T de MS]]*Tableau1[[#This Row],[T de MS]]</f>
        <v>0</v>
      </c>
    </row>
    <row r="55" spans="2:12" ht="18.5" x14ac:dyDescent="0.45">
      <c r="B55" s="39" t="s">
        <v>10</v>
      </c>
      <c r="C55" s="338" t="s">
        <v>11</v>
      </c>
      <c r="D55" s="265"/>
      <c r="E55" s="262"/>
      <c r="F55" s="171">
        <f>$D$55*$E55</f>
        <v>0</v>
      </c>
      <c r="G55" s="257"/>
      <c r="H55" s="177">
        <f t="shared" si="2"/>
        <v>0</v>
      </c>
      <c r="I55" s="461"/>
      <c r="J55" s="535">
        <f>Tableau1[[#This Row],[T de MS]]*Tableau1[[#This Row],[VEM/T de MS]]</f>
        <v>0</v>
      </c>
      <c r="K55" s="484"/>
      <c r="L55" s="540">
        <f>Tableau1[[#This Row],[Kg de DVE/T de MS]]*Tableau1[[#This Row],[T de MS]]</f>
        <v>0</v>
      </c>
    </row>
    <row r="56" spans="2:12" ht="18.5" x14ac:dyDescent="0.45">
      <c r="B56" s="40"/>
      <c r="C56" s="337" t="s">
        <v>12</v>
      </c>
      <c r="D56" s="168">
        <f>D55</f>
        <v>0</v>
      </c>
      <c r="E56" s="256"/>
      <c r="F56" s="172">
        <f t="shared" ref="F56:F59" si="11">$D$55*$E56</f>
        <v>0</v>
      </c>
      <c r="G56" s="258"/>
      <c r="H56" s="178">
        <f t="shared" si="2"/>
        <v>0</v>
      </c>
      <c r="I56" s="462"/>
      <c r="J56" s="527">
        <f>Tableau1[[#This Row],[T de MS]]*Tableau1[[#This Row],[VEM/T de MS]]</f>
        <v>0</v>
      </c>
      <c r="K56" s="481"/>
      <c r="L56" s="541">
        <f>Tableau1[[#This Row],[Kg de DVE/T de MS]]*Tableau1[[#This Row],[T de MS]]</f>
        <v>0</v>
      </c>
    </row>
    <row r="57" spans="2:12" ht="18.5" x14ac:dyDescent="0.45">
      <c r="B57" s="40"/>
      <c r="C57" s="337" t="s">
        <v>13</v>
      </c>
      <c r="D57" s="168">
        <f t="shared" ref="D57:D59" si="12">D56</f>
        <v>0</v>
      </c>
      <c r="E57" s="256"/>
      <c r="F57" s="172">
        <f t="shared" si="11"/>
        <v>0</v>
      </c>
      <c r="G57" s="258"/>
      <c r="H57" s="178">
        <f t="shared" si="2"/>
        <v>0</v>
      </c>
      <c r="I57" s="462"/>
      <c r="J57" s="527">
        <f>Tableau1[[#This Row],[T de MS]]*Tableau1[[#This Row],[VEM/T de MS]]</f>
        <v>0</v>
      </c>
      <c r="K57" s="481"/>
      <c r="L57" s="541">
        <f>Tableau1[[#This Row],[Kg de DVE/T de MS]]*Tableau1[[#This Row],[T de MS]]</f>
        <v>0</v>
      </c>
    </row>
    <row r="58" spans="2:12" s="14" customFormat="1" ht="18.5" x14ac:dyDescent="0.45">
      <c r="B58" s="40"/>
      <c r="C58" s="337" t="s">
        <v>14</v>
      </c>
      <c r="D58" s="168">
        <f t="shared" si="12"/>
        <v>0</v>
      </c>
      <c r="E58" s="256"/>
      <c r="F58" s="172">
        <f t="shared" si="11"/>
        <v>0</v>
      </c>
      <c r="G58" s="258"/>
      <c r="H58" s="178">
        <f t="shared" si="2"/>
        <v>0</v>
      </c>
      <c r="I58" s="462"/>
      <c r="J58" s="527">
        <f>Tableau1[[#This Row],[T de MS]]*Tableau1[[#This Row],[VEM/T de MS]]</f>
        <v>0</v>
      </c>
      <c r="K58" s="481"/>
      <c r="L58" s="541">
        <f>Tableau1[[#This Row],[Kg de DVE/T de MS]]*Tableau1[[#This Row],[T de MS]]</f>
        <v>0</v>
      </c>
    </row>
    <row r="59" spans="2:12" s="14" customFormat="1" ht="19" thickBot="1" x14ac:dyDescent="0.5">
      <c r="B59" s="49"/>
      <c r="C59" s="339" t="s">
        <v>15</v>
      </c>
      <c r="D59" s="168">
        <f t="shared" si="12"/>
        <v>0</v>
      </c>
      <c r="E59" s="264"/>
      <c r="F59" s="174">
        <f t="shared" si="11"/>
        <v>0</v>
      </c>
      <c r="G59" s="259"/>
      <c r="H59" s="179">
        <f t="shared" si="2"/>
        <v>0</v>
      </c>
      <c r="I59" s="463"/>
      <c r="J59" s="536">
        <f>Tableau1[[#This Row],[T de MS]]*Tableau1[[#This Row],[VEM/T de MS]]</f>
        <v>0</v>
      </c>
      <c r="K59" s="485"/>
      <c r="L59" s="542">
        <f>Tableau1[[#This Row],[Kg de DVE/T de MS]]*Tableau1[[#This Row],[T de MS]]</f>
        <v>0</v>
      </c>
    </row>
    <row r="60" spans="2:12" ht="18.5" x14ac:dyDescent="0.45">
      <c r="B60" s="39" t="s">
        <v>149</v>
      </c>
      <c r="C60" s="338" t="s">
        <v>11</v>
      </c>
      <c r="D60" s="265"/>
      <c r="E60" s="262"/>
      <c r="F60" s="175">
        <f>$D$60*$E60</f>
        <v>0</v>
      </c>
      <c r="G60" s="257"/>
      <c r="H60" s="177">
        <f t="shared" si="2"/>
        <v>0</v>
      </c>
      <c r="I60" s="461"/>
      <c r="J60" s="535">
        <f>Tableau1[[#This Row],[T de MS]]*Tableau1[[#This Row],[VEM/T de MS]]</f>
        <v>0</v>
      </c>
      <c r="K60" s="484"/>
      <c r="L60" s="540">
        <f>Tableau1[[#This Row],[Kg de DVE/T de MS]]*Tableau1[[#This Row],[T de MS]]</f>
        <v>0</v>
      </c>
    </row>
    <row r="61" spans="2:12" ht="18.5" x14ac:dyDescent="0.45">
      <c r="B61" s="40"/>
      <c r="C61" s="337" t="s">
        <v>12</v>
      </c>
      <c r="D61" s="168">
        <f>D60</f>
        <v>0</v>
      </c>
      <c r="E61" s="256"/>
      <c r="F61" s="172">
        <f t="shared" ref="F61:F64" si="13">$D$60*$E61</f>
        <v>0</v>
      </c>
      <c r="G61" s="258"/>
      <c r="H61" s="178">
        <f t="shared" si="2"/>
        <v>0</v>
      </c>
      <c r="I61" s="462"/>
      <c r="J61" s="527">
        <f>Tableau1[[#This Row],[T de MS]]*Tableau1[[#This Row],[VEM/T de MS]]</f>
        <v>0</v>
      </c>
      <c r="K61" s="481"/>
      <c r="L61" s="541">
        <f>Tableau1[[#This Row],[Kg de DVE/T de MS]]*Tableau1[[#This Row],[T de MS]]</f>
        <v>0</v>
      </c>
    </row>
    <row r="62" spans="2:12" ht="18.5" x14ac:dyDescent="0.45">
      <c r="B62" s="40"/>
      <c r="C62" s="337" t="s">
        <v>13</v>
      </c>
      <c r="D62" s="168">
        <f t="shared" ref="D62:D64" si="14">D61</f>
        <v>0</v>
      </c>
      <c r="E62" s="256"/>
      <c r="F62" s="172">
        <f t="shared" si="13"/>
        <v>0</v>
      </c>
      <c r="G62" s="258"/>
      <c r="H62" s="178">
        <f t="shared" si="2"/>
        <v>0</v>
      </c>
      <c r="I62" s="462"/>
      <c r="J62" s="527">
        <f>Tableau1[[#This Row],[T de MS]]*Tableau1[[#This Row],[VEM/T de MS]]</f>
        <v>0</v>
      </c>
      <c r="K62" s="481"/>
      <c r="L62" s="541">
        <f>Tableau1[[#This Row],[Kg de DVE/T de MS]]*Tableau1[[#This Row],[T de MS]]</f>
        <v>0</v>
      </c>
    </row>
    <row r="63" spans="2:12" s="14" customFormat="1" ht="18.5" x14ac:dyDescent="0.45">
      <c r="B63" s="40"/>
      <c r="C63" s="337" t="s">
        <v>14</v>
      </c>
      <c r="D63" s="168">
        <f t="shared" si="14"/>
        <v>0</v>
      </c>
      <c r="E63" s="256"/>
      <c r="F63" s="172">
        <f t="shared" si="13"/>
        <v>0</v>
      </c>
      <c r="G63" s="258"/>
      <c r="H63" s="178">
        <f t="shared" si="2"/>
        <v>0</v>
      </c>
      <c r="I63" s="462"/>
      <c r="J63" s="527">
        <f>Tableau1[[#This Row],[T de MS]]*Tableau1[[#This Row],[VEM/T de MS]]</f>
        <v>0</v>
      </c>
      <c r="K63" s="481"/>
      <c r="L63" s="541">
        <f>Tableau1[[#This Row],[Kg de DVE/T de MS]]*Tableau1[[#This Row],[T de MS]]</f>
        <v>0</v>
      </c>
    </row>
    <row r="64" spans="2:12" s="14" customFormat="1" ht="19" thickBot="1" x14ac:dyDescent="0.5">
      <c r="B64" s="41"/>
      <c r="C64" s="340" t="s">
        <v>15</v>
      </c>
      <c r="D64" s="168">
        <f t="shared" si="14"/>
        <v>0</v>
      </c>
      <c r="E64" s="264"/>
      <c r="F64" s="176">
        <f t="shared" si="13"/>
        <v>0</v>
      </c>
      <c r="G64" s="259"/>
      <c r="H64" s="179">
        <f t="shared" si="2"/>
        <v>0</v>
      </c>
      <c r="I64" s="463"/>
      <c r="J64" s="536">
        <f>Tableau1[[#This Row],[T de MS]]*Tableau1[[#This Row],[VEM/T de MS]]</f>
        <v>0</v>
      </c>
      <c r="K64" s="485"/>
      <c r="L64" s="542">
        <f>Tableau1[[#This Row],[Kg de DVE/T de MS]]*Tableau1[[#This Row],[T de MS]]</f>
        <v>0</v>
      </c>
    </row>
    <row r="65" spans="2:12" s="14" customFormat="1" ht="18.5" x14ac:dyDescent="0.45">
      <c r="B65" s="39" t="s">
        <v>150</v>
      </c>
      <c r="C65" s="338" t="s">
        <v>11</v>
      </c>
      <c r="D65" s="265"/>
      <c r="E65" s="262"/>
      <c r="F65" s="175">
        <f>$D$65*$E65</f>
        <v>0</v>
      </c>
      <c r="G65" s="257"/>
      <c r="H65" s="177">
        <f t="shared" si="2"/>
        <v>0</v>
      </c>
      <c r="I65" s="461"/>
      <c r="J65" s="535">
        <f>Tableau1[[#This Row],[T de MS]]*Tableau1[[#This Row],[VEM/T de MS]]</f>
        <v>0</v>
      </c>
      <c r="K65" s="484"/>
      <c r="L65" s="540">
        <f>Tableau1[[#This Row],[Kg de DVE/T de MS]]*Tableau1[[#This Row],[T de MS]]</f>
        <v>0</v>
      </c>
    </row>
    <row r="66" spans="2:12" s="14" customFormat="1" ht="18.5" x14ac:dyDescent="0.45">
      <c r="B66" s="40"/>
      <c r="C66" s="337" t="s">
        <v>12</v>
      </c>
      <c r="D66" s="168">
        <f>D65</f>
        <v>0</v>
      </c>
      <c r="E66" s="256"/>
      <c r="F66" s="172">
        <f t="shared" ref="F66:F69" si="15">$D$65*$E66</f>
        <v>0</v>
      </c>
      <c r="G66" s="258"/>
      <c r="H66" s="178">
        <f t="shared" si="2"/>
        <v>0</v>
      </c>
      <c r="I66" s="462"/>
      <c r="J66" s="527">
        <f>Tableau1[[#This Row],[T de MS]]*Tableau1[[#This Row],[VEM/T de MS]]</f>
        <v>0</v>
      </c>
      <c r="K66" s="481"/>
      <c r="L66" s="541">
        <f>Tableau1[[#This Row],[Kg de DVE/T de MS]]*Tableau1[[#This Row],[T de MS]]</f>
        <v>0</v>
      </c>
    </row>
    <row r="67" spans="2:12" s="14" customFormat="1" ht="18.5" x14ac:dyDescent="0.45">
      <c r="B67" s="40"/>
      <c r="C67" s="337" t="s">
        <v>13</v>
      </c>
      <c r="D67" s="168">
        <f t="shared" ref="D67:D69" si="16">D66</f>
        <v>0</v>
      </c>
      <c r="E67" s="256"/>
      <c r="F67" s="172">
        <f t="shared" si="15"/>
        <v>0</v>
      </c>
      <c r="G67" s="258"/>
      <c r="H67" s="178">
        <f t="shared" si="2"/>
        <v>0</v>
      </c>
      <c r="I67" s="462"/>
      <c r="J67" s="527">
        <f>Tableau1[[#This Row],[T de MS]]*Tableau1[[#This Row],[VEM/T de MS]]</f>
        <v>0</v>
      </c>
      <c r="K67" s="481"/>
      <c r="L67" s="541">
        <f>Tableau1[[#This Row],[Kg de DVE/T de MS]]*Tableau1[[#This Row],[T de MS]]</f>
        <v>0</v>
      </c>
    </row>
    <row r="68" spans="2:12" s="14" customFormat="1" ht="18.5" x14ac:dyDescent="0.45">
      <c r="B68" s="40"/>
      <c r="C68" s="337" t="s">
        <v>14</v>
      </c>
      <c r="D68" s="168">
        <f t="shared" si="16"/>
        <v>0</v>
      </c>
      <c r="E68" s="256"/>
      <c r="F68" s="172">
        <f t="shared" si="15"/>
        <v>0</v>
      </c>
      <c r="G68" s="258"/>
      <c r="H68" s="178">
        <f t="shared" si="2"/>
        <v>0</v>
      </c>
      <c r="I68" s="462"/>
      <c r="J68" s="527">
        <f>Tableau1[[#This Row],[T de MS]]*Tableau1[[#This Row],[VEM/T de MS]]</f>
        <v>0</v>
      </c>
      <c r="K68" s="481"/>
      <c r="L68" s="541">
        <f>Tableau1[[#This Row],[Kg de DVE/T de MS]]*Tableau1[[#This Row],[T de MS]]</f>
        <v>0</v>
      </c>
    </row>
    <row r="69" spans="2:12" s="14" customFormat="1" ht="19" thickBot="1" x14ac:dyDescent="0.5">
      <c r="B69" s="41"/>
      <c r="C69" s="340" t="s">
        <v>15</v>
      </c>
      <c r="D69" s="168">
        <f t="shared" si="16"/>
        <v>0</v>
      </c>
      <c r="E69" s="264"/>
      <c r="F69" s="176">
        <f t="shared" si="15"/>
        <v>0</v>
      </c>
      <c r="G69" s="259"/>
      <c r="H69" s="179">
        <f t="shared" si="2"/>
        <v>0</v>
      </c>
      <c r="I69" s="463"/>
      <c r="J69" s="536">
        <f>Tableau1[[#This Row],[T de MS]]*Tableau1[[#This Row],[VEM/T de MS]]</f>
        <v>0</v>
      </c>
      <c r="K69" s="485"/>
      <c r="L69" s="542">
        <f>Tableau1[[#This Row],[Kg de DVE/T de MS]]*Tableau1[[#This Row],[T de MS]]</f>
        <v>0</v>
      </c>
    </row>
    <row r="70" spans="2:12" s="14" customFormat="1" ht="18.5" x14ac:dyDescent="0.45">
      <c r="B70" s="39" t="s">
        <v>151</v>
      </c>
      <c r="C70" s="338" t="s">
        <v>11</v>
      </c>
      <c r="D70" s="265"/>
      <c r="E70" s="262"/>
      <c r="F70" s="175">
        <f>$D$70*$E70</f>
        <v>0</v>
      </c>
      <c r="G70" s="257"/>
      <c r="H70" s="177">
        <f t="shared" si="2"/>
        <v>0</v>
      </c>
      <c r="I70" s="461"/>
      <c r="J70" s="535">
        <f>Tableau1[[#This Row],[T de MS]]*Tableau1[[#This Row],[VEM/T de MS]]</f>
        <v>0</v>
      </c>
      <c r="K70" s="484"/>
      <c r="L70" s="540">
        <f>Tableau1[[#This Row],[Kg de DVE/T de MS]]*Tableau1[[#This Row],[T de MS]]</f>
        <v>0</v>
      </c>
    </row>
    <row r="71" spans="2:12" s="14" customFormat="1" ht="18.5" x14ac:dyDescent="0.45">
      <c r="B71" s="40"/>
      <c r="C71" s="337" t="s">
        <v>12</v>
      </c>
      <c r="D71" s="168">
        <f>D70</f>
        <v>0</v>
      </c>
      <c r="E71" s="256"/>
      <c r="F71" s="172">
        <f t="shared" ref="F71:F73" si="17">$D$70*$E71</f>
        <v>0</v>
      </c>
      <c r="G71" s="258"/>
      <c r="H71" s="178">
        <f t="shared" si="2"/>
        <v>0</v>
      </c>
      <c r="I71" s="462"/>
      <c r="J71" s="527">
        <f>Tableau1[[#This Row],[T de MS]]*Tableau1[[#This Row],[VEM/T de MS]]</f>
        <v>0</v>
      </c>
      <c r="K71" s="481"/>
      <c r="L71" s="541">
        <f>Tableau1[[#This Row],[Kg de DVE/T de MS]]*Tableau1[[#This Row],[T de MS]]</f>
        <v>0</v>
      </c>
    </row>
    <row r="72" spans="2:12" s="14" customFormat="1" ht="18.5" x14ac:dyDescent="0.45">
      <c r="B72" s="40"/>
      <c r="C72" s="337" t="s">
        <v>13</v>
      </c>
      <c r="D72" s="168">
        <f t="shared" ref="D72:D74" si="18">D71</f>
        <v>0</v>
      </c>
      <c r="E72" s="256"/>
      <c r="F72" s="172">
        <f t="shared" si="17"/>
        <v>0</v>
      </c>
      <c r="G72" s="258"/>
      <c r="H72" s="178">
        <f t="shared" si="2"/>
        <v>0</v>
      </c>
      <c r="I72" s="462"/>
      <c r="J72" s="527">
        <f>Tableau1[[#This Row],[T de MS]]*Tableau1[[#This Row],[VEM/T de MS]]</f>
        <v>0</v>
      </c>
      <c r="K72" s="481"/>
      <c r="L72" s="541">
        <f>Tableau1[[#This Row],[Kg de DVE/T de MS]]*Tableau1[[#This Row],[T de MS]]</f>
        <v>0</v>
      </c>
    </row>
    <row r="73" spans="2:12" s="14" customFormat="1" ht="18.5" x14ac:dyDescent="0.45">
      <c r="B73" s="40"/>
      <c r="C73" s="337" t="s">
        <v>14</v>
      </c>
      <c r="D73" s="168">
        <f t="shared" si="18"/>
        <v>0</v>
      </c>
      <c r="E73" s="256"/>
      <c r="F73" s="172">
        <f t="shared" si="17"/>
        <v>0</v>
      </c>
      <c r="G73" s="258"/>
      <c r="H73" s="178">
        <f t="shared" si="2"/>
        <v>0</v>
      </c>
      <c r="I73" s="462"/>
      <c r="J73" s="527">
        <f>Tableau1[[#This Row],[T de MS]]*Tableau1[[#This Row],[VEM/T de MS]]</f>
        <v>0</v>
      </c>
      <c r="K73" s="481"/>
      <c r="L73" s="541">
        <f>Tableau1[[#This Row],[Kg de DVE/T de MS]]*Tableau1[[#This Row],[T de MS]]</f>
        <v>0</v>
      </c>
    </row>
    <row r="74" spans="2:12" s="14" customFormat="1" ht="19" thickBot="1" x14ac:dyDescent="0.5">
      <c r="B74" s="41"/>
      <c r="C74" s="340" t="s">
        <v>15</v>
      </c>
      <c r="D74" s="168">
        <f t="shared" si="18"/>
        <v>0</v>
      </c>
      <c r="E74" s="264"/>
      <c r="F74" s="176">
        <f>$D$70*$E74</f>
        <v>0</v>
      </c>
      <c r="G74" s="259"/>
      <c r="H74" s="179">
        <f t="shared" si="2"/>
        <v>0</v>
      </c>
      <c r="I74" s="463"/>
      <c r="J74" s="536">
        <f>Tableau1[[#This Row],[T de MS]]*Tableau1[[#This Row],[VEM/T de MS]]</f>
        <v>0</v>
      </c>
      <c r="K74" s="485"/>
      <c r="L74" s="542">
        <f>Tableau1[[#This Row],[Kg de DVE/T de MS]]*Tableau1[[#This Row],[T de MS]]</f>
        <v>0</v>
      </c>
    </row>
    <row r="75" spans="2:12" s="14" customFormat="1" ht="18.5" x14ac:dyDescent="0.45">
      <c r="B75" s="39" t="s">
        <v>152</v>
      </c>
      <c r="C75" s="338" t="s">
        <v>11</v>
      </c>
      <c r="D75" s="265"/>
      <c r="E75" s="262"/>
      <c r="F75" s="175">
        <f>$D$75*$E75</f>
        <v>0</v>
      </c>
      <c r="G75" s="257"/>
      <c r="H75" s="177">
        <f t="shared" si="2"/>
        <v>0</v>
      </c>
      <c r="I75" s="461"/>
      <c r="J75" s="535">
        <f>Tableau1[[#This Row],[T de MS]]*Tableau1[[#This Row],[VEM/T de MS]]</f>
        <v>0</v>
      </c>
      <c r="K75" s="484"/>
      <c r="L75" s="540">
        <f>Tableau1[[#This Row],[Kg de DVE/T de MS]]*Tableau1[[#This Row],[T de MS]]</f>
        <v>0</v>
      </c>
    </row>
    <row r="76" spans="2:12" s="14" customFormat="1" ht="18.5" x14ac:dyDescent="0.45">
      <c r="B76" s="40"/>
      <c r="C76" s="337" t="s">
        <v>12</v>
      </c>
      <c r="D76" s="168">
        <f>D75</f>
        <v>0</v>
      </c>
      <c r="E76" s="256"/>
      <c r="F76" s="172">
        <f t="shared" ref="F76:F79" si="19">$D$75*$E76</f>
        <v>0</v>
      </c>
      <c r="G76" s="258"/>
      <c r="H76" s="178">
        <f t="shared" si="2"/>
        <v>0</v>
      </c>
      <c r="I76" s="462"/>
      <c r="J76" s="527">
        <f>Tableau1[[#This Row],[T de MS]]*Tableau1[[#This Row],[VEM/T de MS]]</f>
        <v>0</v>
      </c>
      <c r="K76" s="481"/>
      <c r="L76" s="541">
        <f>Tableau1[[#This Row],[Kg de DVE/T de MS]]*Tableau1[[#This Row],[T de MS]]</f>
        <v>0</v>
      </c>
    </row>
    <row r="77" spans="2:12" s="14" customFormat="1" ht="18.5" x14ac:dyDescent="0.45">
      <c r="B77" s="40"/>
      <c r="C77" s="337" t="s">
        <v>13</v>
      </c>
      <c r="D77" s="168">
        <f t="shared" ref="D77:D79" si="20">D76</f>
        <v>0</v>
      </c>
      <c r="E77" s="256"/>
      <c r="F77" s="172">
        <f t="shared" si="19"/>
        <v>0</v>
      </c>
      <c r="G77" s="258"/>
      <c r="H77" s="178">
        <f t="shared" si="2"/>
        <v>0</v>
      </c>
      <c r="I77" s="462"/>
      <c r="J77" s="527">
        <f>Tableau1[[#This Row],[T de MS]]*Tableau1[[#This Row],[VEM/T de MS]]</f>
        <v>0</v>
      </c>
      <c r="K77" s="481"/>
      <c r="L77" s="541">
        <f>Tableau1[[#This Row],[Kg de DVE/T de MS]]*Tableau1[[#This Row],[T de MS]]</f>
        <v>0</v>
      </c>
    </row>
    <row r="78" spans="2:12" s="14" customFormat="1" ht="18.5" x14ac:dyDescent="0.45">
      <c r="B78" s="40"/>
      <c r="C78" s="337" t="s">
        <v>14</v>
      </c>
      <c r="D78" s="168">
        <f t="shared" si="20"/>
        <v>0</v>
      </c>
      <c r="E78" s="256"/>
      <c r="F78" s="172">
        <f t="shared" si="19"/>
        <v>0</v>
      </c>
      <c r="G78" s="258"/>
      <c r="H78" s="178">
        <f t="shared" si="2"/>
        <v>0</v>
      </c>
      <c r="I78" s="462"/>
      <c r="J78" s="527">
        <f>Tableau1[[#This Row],[T de MS]]*Tableau1[[#This Row],[VEM/T de MS]]</f>
        <v>0</v>
      </c>
      <c r="K78" s="481"/>
      <c r="L78" s="541">
        <f>Tableau1[[#This Row],[Kg de DVE/T de MS]]*Tableau1[[#This Row],[T de MS]]</f>
        <v>0</v>
      </c>
    </row>
    <row r="79" spans="2:12" s="14" customFormat="1" ht="19" thickBot="1" x14ac:dyDescent="0.5">
      <c r="B79" s="41"/>
      <c r="C79" s="340" t="s">
        <v>15</v>
      </c>
      <c r="D79" s="168">
        <f t="shared" si="20"/>
        <v>0</v>
      </c>
      <c r="E79" s="264"/>
      <c r="F79" s="176">
        <f t="shared" si="19"/>
        <v>0</v>
      </c>
      <c r="G79" s="259"/>
      <c r="H79" s="179">
        <f t="shared" si="2"/>
        <v>0</v>
      </c>
      <c r="I79" s="463"/>
      <c r="J79" s="536">
        <f>Tableau1[[#This Row],[T de MS]]*Tableau1[[#This Row],[VEM/T de MS]]</f>
        <v>0</v>
      </c>
      <c r="K79" s="485"/>
      <c r="L79" s="542">
        <f>Tableau1[[#This Row],[Kg de DVE/T de MS]]*Tableau1[[#This Row],[T de MS]]</f>
        <v>0</v>
      </c>
    </row>
    <row r="80" spans="2:12" s="14" customFormat="1" ht="18.5" x14ac:dyDescent="0.45">
      <c r="B80" s="39" t="s">
        <v>153</v>
      </c>
      <c r="C80" s="338" t="s">
        <v>11</v>
      </c>
      <c r="D80" s="265"/>
      <c r="E80" s="262"/>
      <c r="F80" s="175">
        <f>$D$80*$E80</f>
        <v>0</v>
      </c>
      <c r="G80" s="257"/>
      <c r="H80" s="177">
        <f t="shared" si="2"/>
        <v>0</v>
      </c>
      <c r="I80" s="461"/>
      <c r="J80" s="535">
        <f>Tableau1[[#This Row],[T de MS]]*Tableau1[[#This Row],[VEM/T de MS]]</f>
        <v>0</v>
      </c>
      <c r="K80" s="484"/>
      <c r="L80" s="540">
        <f>Tableau1[[#This Row],[Kg de DVE/T de MS]]*Tableau1[[#This Row],[T de MS]]</f>
        <v>0</v>
      </c>
    </row>
    <row r="81" spans="2:19" s="14" customFormat="1" ht="18.5" x14ac:dyDescent="0.45">
      <c r="B81" s="40"/>
      <c r="C81" s="337" t="s">
        <v>12</v>
      </c>
      <c r="D81" s="168">
        <f>D80</f>
        <v>0</v>
      </c>
      <c r="E81" s="256"/>
      <c r="F81" s="172">
        <f t="shared" ref="F81:F84" si="21">$D$80*$E81</f>
        <v>0</v>
      </c>
      <c r="G81" s="258"/>
      <c r="H81" s="178">
        <f t="shared" si="2"/>
        <v>0</v>
      </c>
      <c r="I81" s="462"/>
      <c r="J81" s="527">
        <f>Tableau1[[#This Row],[T de MS]]*Tableau1[[#This Row],[VEM/T de MS]]</f>
        <v>0</v>
      </c>
      <c r="K81" s="481"/>
      <c r="L81" s="541">
        <f>Tableau1[[#This Row],[Kg de DVE/T de MS]]*Tableau1[[#This Row],[T de MS]]</f>
        <v>0</v>
      </c>
    </row>
    <row r="82" spans="2:19" s="14" customFormat="1" ht="18.5" x14ac:dyDescent="0.45">
      <c r="B82" s="40"/>
      <c r="C82" s="337" t="s">
        <v>13</v>
      </c>
      <c r="D82" s="168">
        <f t="shared" ref="D82:D84" si="22">D81</f>
        <v>0</v>
      </c>
      <c r="E82" s="256"/>
      <c r="F82" s="172">
        <f t="shared" si="21"/>
        <v>0</v>
      </c>
      <c r="G82" s="258"/>
      <c r="H82" s="178">
        <f t="shared" si="2"/>
        <v>0</v>
      </c>
      <c r="I82" s="462"/>
      <c r="J82" s="527">
        <f>Tableau1[[#This Row],[T de MS]]*Tableau1[[#This Row],[VEM/T de MS]]</f>
        <v>0</v>
      </c>
      <c r="K82" s="481"/>
      <c r="L82" s="541">
        <f>Tableau1[[#This Row],[Kg de DVE/T de MS]]*Tableau1[[#This Row],[T de MS]]</f>
        <v>0</v>
      </c>
    </row>
    <row r="83" spans="2:19" s="14" customFormat="1" ht="18.5" x14ac:dyDescent="0.45">
      <c r="B83" s="40"/>
      <c r="C83" s="337" t="s">
        <v>14</v>
      </c>
      <c r="D83" s="168">
        <f t="shared" si="22"/>
        <v>0</v>
      </c>
      <c r="E83" s="256"/>
      <c r="F83" s="172">
        <f t="shared" si="21"/>
        <v>0</v>
      </c>
      <c r="G83" s="258"/>
      <c r="H83" s="178">
        <f t="shared" si="2"/>
        <v>0</v>
      </c>
      <c r="I83" s="462"/>
      <c r="J83" s="527">
        <f>Tableau1[[#This Row],[T de MS]]*Tableau1[[#This Row],[VEM/T de MS]]</f>
        <v>0</v>
      </c>
      <c r="K83" s="481"/>
      <c r="L83" s="541">
        <f>Tableau1[[#This Row],[Kg de DVE/T de MS]]*Tableau1[[#This Row],[T de MS]]</f>
        <v>0</v>
      </c>
    </row>
    <row r="84" spans="2:19" s="14" customFormat="1" ht="19" thickBot="1" x14ac:dyDescent="0.5">
      <c r="B84" s="49"/>
      <c r="C84" s="339" t="s">
        <v>15</v>
      </c>
      <c r="D84" s="168">
        <f t="shared" si="22"/>
        <v>0</v>
      </c>
      <c r="E84" s="264"/>
      <c r="F84" s="176">
        <f t="shared" si="21"/>
        <v>0</v>
      </c>
      <c r="G84" s="259"/>
      <c r="H84" s="179">
        <f t="shared" si="2"/>
        <v>0</v>
      </c>
      <c r="I84" s="463"/>
      <c r="J84" s="536">
        <f>Tableau1[[#This Row],[T de MS]]*Tableau1[[#This Row],[VEM/T de MS]]</f>
        <v>0</v>
      </c>
      <c r="K84" s="485"/>
      <c r="L84" s="542">
        <f>Tableau1[[#This Row],[Kg de DVE/T de MS]]*Tableau1[[#This Row],[T de MS]]</f>
        <v>0</v>
      </c>
    </row>
    <row r="85" spans="2:19" s="14" customFormat="1" ht="18.5" x14ac:dyDescent="0.45">
      <c r="B85" s="39" t="s">
        <v>323</v>
      </c>
      <c r="C85" s="338" t="s">
        <v>11</v>
      </c>
      <c r="D85" s="265"/>
      <c r="E85" s="262"/>
      <c r="F85" s="175">
        <f>$D$85*$E85</f>
        <v>0</v>
      </c>
      <c r="G85" s="257"/>
      <c r="H85" s="177">
        <f t="shared" si="2"/>
        <v>0</v>
      </c>
      <c r="I85" s="461"/>
      <c r="J85" s="535">
        <f>Tableau1[[#This Row],[T de MS]]*Tableau1[[#This Row],[VEM/T de MS]]</f>
        <v>0</v>
      </c>
      <c r="K85" s="484"/>
      <c r="L85" s="540">
        <f>Tableau1[[#This Row],[Kg de DVE/T de MS]]*Tableau1[[#This Row],[T de MS]]</f>
        <v>0</v>
      </c>
    </row>
    <row r="86" spans="2:19" s="14" customFormat="1" ht="18.5" x14ac:dyDescent="0.45">
      <c r="B86" s="40"/>
      <c r="C86" s="337" t="s">
        <v>12</v>
      </c>
      <c r="D86" s="168">
        <f>D85</f>
        <v>0</v>
      </c>
      <c r="E86" s="256"/>
      <c r="F86" s="172">
        <f t="shared" ref="F86:F89" si="23">$D$85*$E86</f>
        <v>0</v>
      </c>
      <c r="G86" s="258"/>
      <c r="H86" s="178">
        <f t="shared" si="2"/>
        <v>0</v>
      </c>
      <c r="I86" s="462"/>
      <c r="J86" s="527">
        <f>Tableau1[[#This Row],[T de MS]]*Tableau1[[#This Row],[VEM/T de MS]]</f>
        <v>0</v>
      </c>
      <c r="K86" s="481"/>
      <c r="L86" s="541">
        <f>Tableau1[[#This Row],[Kg de DVE/T de MS]]*Tableau1[[#This Row],[T de MS]]</f>
        <v>0</v>
      </c>
    </row>
    <row r="87" spans="2:19" s="14" customFormat="1" ht="18.5" x14ac:dyDescent="0.45">
      <c r="B87" s="40"/>
      <c r="C87" s="337" t="s">
        <v>13</v>
      </c>
      <c r="D87" s="168">
        <f t="shared" ref="D87:D89" si="24">D86</f>
        <v>0</v>
      </c>
      <c r="E87" s="256"/>
      <c r="F87" s="172">
        <f t="shared" si="23"/>
        <v>0</v>
      </c>
      <c r="G87" s="258"/>
      <c r="H87" s="178">
        <f t="shared" si="2"/>
        <v>0</v>
      </c>
      <c r="I87" s="462"/>
      <c r="J87" s="527">
        <f>Tableau1[[#This Row],[T de MS]]*Tableau1[[#This Row],[VEM/T de MS]]</f>
        <v>0</v>
      </c>
      <c r="K87" s="481"/>
      <c r="L87" s="541">
        <f>Tableau1[[#This Row],[Kg de DVE/T de MS]]*Tableau1[[#This Row],[T de MS]]</f>
        <v>0</v>
      </c>
    </row>
    <row r="88" spans="2:19" ht="18.5" x14ac:dyDescent="0.45">
      <c r="B88" s="40"/>
      <c r="C88" s="337" t="s">
        <v>14</v>
      </c>
      <c r="D88" s="168">
        <f t="shared" si="24"/>
        <v>0</v>
      </c>
      <c r="E88" s="256"/>
      <c r="F88" s="172">
        <f t="shared" si="23"/>
        <v>0</v>
      </c>
      <c r="G88" s="258"/>
      <c r="H88" s="178">
        <f t="shared" ref="H88:H109" si="25">$F88*$G88</f>
        <v>0</v>
      </c>
      <c r="I88" s="462"/>
      <c r="J88" s="527">
        <f>Tableau1[[#This Row],[T de MS]]*Tableau1[[#This Row],[VEM/T de MS]]</f>
        <v>0</v>
      </c>
      <c r="K88" s="481"/>
      <c r="L88" s="541">
        <f>Tableau1[[#This Row],[Kg de DVE/T de MS]]*Tableau1[[#This Row],[T de MS]]</f>
        <v>0</v>
      </c>
    </row>
    <row r="89" spans="2:19" ht="19" thickBot="1" x14ac:dyDescent="0.5">
      <c r="B89" s="41"/>
      <c r="C89" s="340" t="s">
        <v>15</v>
      </c>
      <c r="D89" s="168">
        <f t="shared" si="24"/>
        <v>0</v>
      </c>
      <c r="E89" s="264"/>
      <c r="F89" s="176">
        <f t="shared" si="23"/>
        <v>0</v>
      </c>
      <c r="G89" s="259"/>
      <c r="H89" s="179">
        <f t="shared" si="25"/>
        <v>0</v>
      </c>
      <c r="I89" s="463"/>
      <c r="J89" s="536">
        <f>Tableau1[[#This Row],[T de MS]]*Tableau1[[#This Row],[VEM/T de MS]]</f>
        <v>0</v>
      </c>
      <c r="K89" s="485"/>
      <c r="L89" s="542">
        <f>Tableau1[[#This Row],[Kg de DVE/T de MS]]*Tableau1[[#This Row],[T de MS]]</f>
        <v>0</v>
      </c>
    </row>
    <row r="90" spans="2:19" ht="18.5" x14ac:dyDescent="0.45">
      <c r="B90" s="39" t="s">
        <v>324</v>
      </c>
      <c r="C90" s="338" t="s">
        <v>11</v>
      </c>
      <c r="D90" s="265"/>
      <c r="E90" s="262"/>
      <c r="F90" s="175">
        <f>$D$90*$E90</f>
        <v>0</v>
      </c>
      <c r="G90" s="257"/>
      <c r="H90" s="177">
        <f t="shared" si="25"/>
        <v>0</v>
      </c>
      <c r="I90" s="461"/>
      <c r="J90" s="535">
        <f>Tableau1[[#This Row],[T de MS]]*Tableau1[[#This Row],[VEM/T de MS]]</f>
        <v>0</v>
      </c>
      <c r="K90" s="484"/>
      <c r="L90" s="540">
        <f>Tableau1[[#This Row],[Kg de DVE/T de MS]]*Tableau1[[#This Row],[T de MS]]</f>
        <v>0</v>
      </c>
    </row>
    <row r="91" spans="2:19" ht="18.5" x14ac:dyDescent="0.45">
      <c r="B91" s="40"/>
      <c r="C91" s="337" t="s">
        <v>12</v>
      </c>
      <c r="D91" s="168">
        <f>D90</f>
        <v>0</v>
      </c>
      <c r="E91" s="256"/>
      <c r="F91" s="172">
        <f t="shared" ref="F91:F94" si="26">$D$90*$E91</f>
        <v>0</v>
      </c>
      <c r="G91" s="258"/>
      <c r="H91" s="178">
        <f t="shared" si="25"/>
        <v>0</v>
      </c>
      <c r="I91" s="462"/>
      <c r="J91" s="527">
        <f>Tableau1[[#This Row],[T de MS]]*Tableau1[[#This Row],[VEM/T de MS]]</f>
        <v>0</v>
      </c>
      <c r="K91" s="481"/>
      <c r="L91" s="541">
        <f>Tableau1[[#This Row],[Kg de DVE/T de MS]]*Tableau1[[#This Row],[T de MS]]</f>
        <v>0</v>
      </c>
    </row>
    <row r="92" spans="2:19" ht="18.5" x14ac:dyDescent="0.45">
      <c r="B92" s="40"/>
      <c r="C92" s="337" t="s">
        <v>13</v>
      </c>
      <c r="D92" s="168">
        <f t="shared" ref="D92:D94" si="27">D91</f>
        <v>0</v>
      </c>
      <c r="E92" s="256"/>
      <c r="F92" s="172">
        <f t="shared" si="26"/>
        <v>0</v>
      </c>
      <c r="G92" s="258"/>
      <c r="H92" s="178">
        <f t="shared" si="25"/>
        <v>0</v>
      </c>
      <c r="I92" s="462"/>
      <c r="J92" s="527">
        <f>Tableau1[[#This Row],[T de MS]]*Tableau1[[#This Row],[VEM/T de MS]]</f>
        <v>0</v>
      </c>
      <c r="K92" s="481"/>
      <c r="L92" s="541">
        <f>Tableau1[[#This Row],[Kg de DVE/T de MS]]*Tableau1[[#This Row],[T de MS]]</f>
        <v>0</v>
      </c>
    </row>
    <row r="93" spans="2:19" ht="18.5" x14ac:dyDescent="0.45">
      <c r="B93" s="40"/>
      <c r="C93" s="337" t="s">
        <v>14</v>
      </c>
      <c r="D93" s="168">
        <f t="shared" si="27"/>
        <v>0</v>
      </c>
      <c r="E93" s="256"/>
      <c r="F93" s="172">
        <f t="shared" si="26"/>
        <v>0</v>
      </c>
      <c r="G93" s="258"/>
      <c r="H93" s="178">
        <f t="shared" si="25"/>
        <v>0</v>
      </c>
      <c r="I93" s="462"/>
      <c r="J93" s="527">
        <f>Tableau1[[#This Row],[T de MS]]*Tableau1[[#This Row],[VEM/T de MS]]</f>
        <v>0</v>
      </c>
      <c r="K93" s="481"/>
      <c r="L93" s="541">
        <f>Tableau1[[#This Row],[Kg de DVE/T de MS]]*Tableau1[[#This Row],[T de MS]]</f>
        <v>0</v>
      </c>
    </row>
    <row r="94" spans="2:19" s="14" customFormat="1" ht="19" thickBot="1" x14ac:dyDescent="0.5">
      <c r="B94" s="41"/>
      <c r="C94" s="340" t="s">
        <v>15</v>
      </c>
      <c r="D94" s="168">
        <f t="shared" si="27"/>
        <v>0</v>
      </c>
      <c r="E94" s="264"/>
      <c r="F94" s="176">
        <f t="shared" si="26"/>
        <v>0</v>
      </c>
      <c r="G94" s="259"/>
      <c r="H94" s="179">
        <f t="shared" si="25"/>
        <v>0</v>
      </c>
      <c r="I94" s="463"/>
      <c r="J94" s="536">
        <f>Tableau1[[#This Row],[T de MS]]*Tableau1[[#This Row],[VEM/T de MS]]</f>
        <v>0</v>
      </c>
      <c r="K94" s="485"/>
      <c r="L94" s="542">
        <f>Tableau1[[#This Row],[Kg de DVE/T de MS]]*Tableau1[[#This Row],[T de MS]]</f>
        <v>0</v>
      </c>
      <c r="N94"/>
      <c r="O94"/>
      <c r="P94"/>
      <c r="Q94"/>
      <c r="R94"/>
      <c r="S94"/>
    </row>
    <row r="95" spans="2:19" ht="18.5" x14ac:dyDescent="0.45">
      <c r="B95" s="39" t="s">
        <v>325</v>
      </c>
      <c r="C95" s="338" t="s">
        <v>11</v>
      </c>
      <c r="D95" s="265"/>
      <c r="E95" s="262"/>
      <c r="F95" s="175">
        <f>$D$95*$E95</f>
        <v>0</v>
      </c>
      <c r="G95" s="257"/>
      <c r="H95" s="177">
        <f t="shared" si="25"/>
        <v>0</v>
      </c>
      <c r="I95" s="461"/>
      <c r="J95" s="535">
        <f>Tableau1[[#This Row],[T de MS]]*Tableau1[[#This Row],[VEM/T de MS]]</f>
        <v>0</v>
      </c>
      <c r="K95" s="484"/>
      <c r="L95" s="540">
        <f>Tableau1[[#This Row],[Kg de DVE/T de MS]]*Tableau1[[#This Row],[T de MS]]</f>
        <v>0</v>
      </c>
    </row>
    <row r="96" spans="2:19" ht="18.5" x14ac:dyDescent="0.45">
      <c r="B96" s="40"/>
      <c r="C96" s="337" t="s">
        <v>12</v>
      </c>
      <c r="D96" s="168">
        <f>D95</f>
        <v>0</v>
      </c>
      <c r="E96" s="256"/>
      <c r="F96" s="172">
        <f t="shared" ref="F96:F99" si="28">$D$95*$E96</f>
        <v>0</v>
      </c>
      <c r="G96" s="258"/>
      <c r="H96" s="178">
        <f t="shared" si="25"/>
        <v>0</v>
      </c>
      <c r="I96" s="462"/>
      <c r="J96" s="527">
        <f>Tableau1[[#This Row],[T de MS]]*Tableau1[[#This Row],[VEM/T de MS]]</f>
        <v>0</v>
      </c>
      <c r="K96" s="481"/>
      <c r="L96" s="541">
        <f>Tableau1[[#This Row],[Kg de DVE/T de MS]]*Tableau1[[#This Row],[T de MS]]</f>
        <v>0</v>
      </c>
    </row>
    <row r="97" spans="2:12" ht="18.5" x14ac:dyDescent="0.45">
      <c r="B97" s="40"/>
      <c r="C97" s="337" t="s">
        <v>13</v>
      </c>
      <c r="D97" s="168">
        <f t="shared" ref="D97:D98" si="29">D96</f>
        <v>0</v>
      </c>
      <c r="E97" s="256"/>
      <c r="F97" s="172">
        <f t="shared" si="28"/>
        <v>0</v>
      </c>
      <c r="G97" s="258"/>
      <c r="H97" s="178">
        <f t="shared" si="25"/>
        <v>0</v>
      </c>
      <c r="I97" s="462"/>
      <c r="J97" s="527">
        <f>Tableau1[[#This Row],[T de MS]]*Tableau1[[#This Row],[VEM/T de MS]]</f>
        <v>0</v>
      </c>
      <c r="K97" s="481"/>
      <c r="L97" s="541">
        <f>Tableau1[[#This Row],[Kg de DVE/T de MS]]*Tableau1[[#This Row],[T de MS]]</f>
        <v>0</v>
      </c>
    </row>
    <row r="98" spans="2:12" ht="18.5" x14ac:dyDescent="0.45">
      <c r="B98" s="40"/>
      <c r="C98" s="337" t="s">
        <v>14</v>
      </c>
      <c r="D98" s="168">
        <f t="shared" si="29"/>
        <v>0</v>
      </c>
      <c r="E98" s="256"/>
      <c r="F98" s="172">
        <f t="shared" si="28"/>
        <v>0</v>
      </c>
      <c r="G98" s="258"/>
      <c r="H98" s="178">
        <f t="shared" si="25"/>
        <v>0</v>
      </c>
      <c r="I98" s="462"/>
      <c r="J98" s="527">
        <f>Tableau1[[#This Row],[T de MS]]*Tableau1[[#This Row],[VEM/T de MS]]</f>
        <v>0</v>
      </c>
      <c r="K98" s="481"/>
      <c r="L98" s="541">
        <f>Tableau1[[#This Row],[Kg de DVE/T de MS]]*Tableau1[[#This Row],[T de MS]]</f>
        <v>0</v>
      </c>
    </row>
    <row r="99" spans="2:12" ht="19" thickBot="1" x14ac:dyDescent="0.5">
      <c r="B99" s="41"/>
      <c r="C99" s="340" t="s">
        <v>15</v>
      </c>
      <c r="D99" s="168">
        <f>D98</f>
        <v>0</v>
      </c>
      <c r="E99" s="264"/>
      <c r="F99" s="176">
        <f t="shared" si="28"/>
        <v>0</v>
      </c>
      <c r="G99" s="259"/>
      <c r="H99" s="179">
        <f t="shared" si="25"/>
        <v>0</v>
      </c>
      <c r="I99" s="463"/>
      <c r="J99" s="536">
        <f>Tableau1[[#This Row],[T de MS]]*Tableau1[[#This Row],[VEM/T de MS]]</f>
        <v>0</v>
      </c>
      <c r="K99" s="485"/>
      <c r="L99" s="542">
        <f>Tableau1[[#This Row],[Kg de DVE/T de MS]]*Tableau1[[#This Row],[T de MS]]</f>
        <v>0</v>
      </c>
    </row>
    <row r="100" spans="2:12" ht="18.5" x14ac:dyDescent="0.45">
      <c r="B100" s="39" t="s">
        <v>326</v>
      </c>
      <c r="C100" s="338" t="s">
        <v>11</v>
      </c>
      <c r="D100" s="265"/>
      <c r="E100" s="262"/>
      <c r="F100" s="175">
        <f>$D$100*$E100</f>
        <v>0</v>
      </c>
      <c r="G100" s="257"/>
      <c r="H100" s="177">
        <f t="shared" si="25"/>
        <v>0</v>
      </c>
      <c r="I100" s="461"/>
      <c r="J100" s="535">
        <f>Tableau1[[#This Row],[T de MS]]*Tableau1[[#This Row],[VEM/T de MS]]</f>
        <v>0</v>
      </c>
      <c r="K100" s="484"/>
      <c r="L100" s="540">
        <f>Tableau1[[#This Row],[Kg de DVE/T de MS]]*Tableau1[[#This Row],[T de MS]]</f>
        <v>0</v>
      </c>
    </row>
    <row r="101" spans="2:12" ht="18.5" x14ac:dyDescent="0.45">
      <c r="B101" s="40"/>
      <c r="C101" s="337" t="s">
        <v>12</v>
      </c>
      <c r="D101" s="168">
        <f>D100</f>
        <v>0</v>
      </c>
      <c r="E101" s="256"/>
      <c r="F101" s="172">
        <f t="shared" ref="F101:F104" si="30">$D$100*$E101</f>
        <v>0</v>
      </c>
      <c r="G101" s="258"/>
      <c r="H101" s="178">
        <f t="shared" si="25"/>
        <v>0</v>
      </c>
      <c r="I101" s="462"/>
      <c r="J101" s="527">
        <f>Tableau1[[#This Row],[T de MS]]*Tableau1[[#This Row],[VEM/T de MS]]</f>
        <v>0</v>
      </c>
      <c r="K101" s="481"/>
      <c r="L101" s="541">
        <f>Tableau1[[#This Row],[Kg de DVE/T de MS]]*Tableau1[[#This Row],[T de MS]]</f>
        <v>0</v>
      </c>
    </row>
    <row r="102" spans="2:12" ht="18.5" x14ac:dyDescent="0.45">
      <c r="B102" s="40"/>
      <c r="C102" s="337" t="s">
        <v>13</v>
      </c>
      <c r="D102" s="168">
        <f t="shared" ref="D102:D104" si="31">D101</f>
        <v>0</v>
      </c>
      <c r="E102" s="256"/>
      <c r="F102" s="172">
        <f t="shared" si="30"/>
        <v>0</v>
      </c>
      <c r="G102" s="258"/>
      <c r="H102" s="178">
        <f t="shared" si="25"/>
        <v>0</v>
      </c>
      <c r="I102" s="462"/>
      <c r="J102" s="527">
        <f>Tableau1[[#This Row],[T de MS]]*Tableau1[[#This Row],[VEM/T de MS]]</f>
        <v>0</v>
      </c>
      <c r="K102" s="481"/>
      <c r="L102" s="541">
        <f>Tableau1[[#This Row],[Kg de DVE/T de MS]]*Tableau1[[#This Row],[T de MS]]</f>
        <v>0</v>
      </c>
    </row>
    <row r="103" spans="2:12" ht="18.5" x14ac:dyDescent="0.45">
      <c r="B103" s="40"/>
      <c r="C103" s="337" t="s">
        <v>14</v>
      </c>
      <c r="D103" s="168">
        <f t="shared" si="31"/>
        <v>0</v>
      </c>
      <c r="E103" s="256"/>
      <c r="F103" s="172">
        <f t="shared" si="30"/>
        <v>0</v>
      </c>
      <c r="G103" s="258"/>
      <c r="H103" s="178">
        <f t="shared" si="25"/>
        <v>0</v>
      </c>
      <c r="I103" s="462"/>
      <c r="J103" s="527">
        <f>Tableau1[[#This Row],[T de MS]]*Tableau1[[#This Row],[VEM/T de MS]]</f>
        <v>0</v>
      </c>
      <c r="K103" s="481"/>
      <c r="L103" s="541">
        <f>Tableau1[[#This Row],[Kg de DVE/T de MS]]*Tableau1[[#This Row],[T de MS]]</f>
        <v>0</v>
      </c>
    </row>
    <row r="104" spans="2:12" ht="19" thickBot="1" x14ac:dyDescent="0.5">
      <c r="B104" s="41"/>
      <c r="C104" s="340" t="s">
        <v>15</v>
      </c>
      <c r="D104" s="168">
        <f t="shared" si="31"/>
        <v>0</v>
      </c>
      <c r="E104" s="264"/>
      <c r="F104" s="176">
        <f t="shared" si="30"/>
        <v>0</v>
      </c>
      <c r="G104" s="259"/>
      <c r="H104" s="179">
        <f t="shared" si="25"/>
        <v>0</v>
      </c>
      <c r="I104" s="463"/>
      <c r="J104" s="536">
        <f>Tableau1[[#This Row],[T de MS]]*Tableau1[[#This Row],[VEM/T de MS]]</f>
        <v>0</v>
      </c>
      <c r="K104" s="485"/>
      <c r="L104" s="542">
        <f>Tableau1[[#This Row],[Kg de DVE/T de MS]]*Tableau1[[#This Row],[T de MS]]</f>
        <v>0</v>
      </c>
    </row>
    <row r="105" spans="2:12" ht="18.5" x14ac:dyDescent="0.45">
      <c r="B105" s="39" t="s">
        <v>327</v>
      </c>
      <c r="C105" s="338" t="s">
        <v>11</v>
      </c>
      <c r="D105" s="265"/>
      <c r="E105" s="262"/>
      <c r="F105" s="175">
        <f>$D$105*$E105</f>
        <v>0</v>
      </c>
      <c r="G105" s="257"/>
      <c r="H105" s="180">
        <f t="shared" si="25"/>
        <v>0</v>
      </c>
      <c r="I105" s="487"/>
      <c r="J105" s="535">
        <f>Tableau1[[#This Row],[T de MS]]*Tableau1[[#This Row],[VEM/T de MS]]</f>
        <v>0</v>
      </c>
      <c r="K105" s="484"/>
      <c r="L105" s="540">
        <f>Tableau1[[#This Row],[Kg de DVE/T de MS]]*Tableau1[[#This Row],[T de MS]]</f>
        <v>0</v>
      </c>
    </row>
    <row r="106" spans="2:12" ht="18.5" x14ac:dyDescent="0.45">
      <c r="B106" s="40"/>
      <c r="C106" s="337" t="s">
        <v>12</v>
      </c>
      <c r="D106" s="168">
        <f>D105</f>
        <v>0</v>
      </c>
      <c r="E106" s="256"/>
      <c r="F106" s="172">
        <f t="shared" ref="F106:F109" si="32">$D$105*$E106</f>
        <v>0</v>
      </c>
      <c r="G106" s="258"/>
      <c r="H106" s="178">
        <f t="shared" si="25"/>
        <v>0</v>
      </c>
      <c r="I106" s="459"/>
      <c r="J106" s="527">
        <f>Tableau1[[#This Row],[T de MS]]*Tableau1[[#This Row],[VEM/T de MS]]</f>
        <v>0</v>
      </c>
      <c r="K106" s="481"/>
      <c r="L106" s="541">
        <f>Tableau1[[#This Row],[Kg de DVE/T de MS]]*Tableau1[[#This Row],[T de MS]]</f>
        <v>0</v>
      </c>
    </row>
    <row r="107" spans="2:12" ht="18.5" x14ac:dyDescent="0.45">
      <c r="B107" s="40"/>
      <c r="C107" s="337" t="s">
        <v>13</v>
      </c>
      <c r="D107" s="168">
        <f t="shared" ref="D107:D109" si="33">D106</f>
        <v>0</v>
      </c>
      <c r="E107" s="256"/>
      <c r="F107" s="172">
        <f t="shared" si="32"/>
        <v>0</v>
      </c>
      <c r="G107" s="258"/>
      <c r="H107" s="178">
        <f t="shared" si="25"/>
        <v>0</v>
      </c>
      <c r="I107" s="459"/>
      <c r="J107" s="527">
        <f>Tableau1[[#This Row],[T de MS]]*Tableau1[[#This Row],[VEM/T de MS]]</f>
        <v>0</v>
      </c>
      <c r="K107" s="481"/>
      <c r="L107" s="541">
        <f>Tableau1[[#This Row],[Kg de DVE/T de MS]]*Tableau1[[#This Row],[T de MS]]</f>
        <v>0</v>
      </c>
    </row>
    <row r="108" spans="2:12" ht="18.5" x14ac:dyDescent="0.45">
      <c r="B108" s="40"/>
      <c r="C108" s="337" t="s">
        <v>14</v>
      </c>
      <c r="D108" s="168">
        <f t="shared" si="33"/>
        <v>0</v>
      </c>
      <c r="E108" s="256"/>
      <c r="F108" s="172">
        <f t="shared" si="32"/>
        <v>0</v>
      </c>
      <c r="G108" s="258"/>
      <c r="H108" s="178">
        <f t="shared" si="25"/>
        <v>0</v>
      </c>
      <c r="I108" s="459"/>
      <c r="J108" s="527">
        <f>Tableau1[[#This Row],[T de MS]]*Tableau1[[#This Row],[VEM/T de MS]]</f>
        <v>0</v>
      </c>
      <c r="K108" s="481"/>
      <c r="L108" s="541">
        <f>Tableau1[[#This Row],[Kg de DVE/T de MS]]*Tableau1[[#This Row],[T de MS]]</f>
        <v>0</v>
      </c>
    </row>
    <row r="109" spans="2:12" ht="19" thickBot="1" x14ac:dyDescent="0.5">
      <c r="B109" s="49"/>
      <c r="C109" s="339" t="s">
        <v>15</v>
      </c>
      <c r="D109" s="469">
        <f t="shared" si="33"/>
        <v>0</v>
      </c>
      <c r="E109" s="470"/>
      <c r="F109" s="471">
        <f t="shared" si="32"/>
        <v>0</v>
      </c>
      <c r="G109" s="472"/>
      <c r="H109" s="473">
        <f t="shared" si="25"/>
        <v>0</v>
      </c>
      <c r="I109" s="488"/>
      <c r="J109" s="537">
        <f>Tableau1[[#This Row],[T de MS]]*Tableau1[[#This Row],[VEM/T de MS]]</f>
        <v>0</v>
      </c>
      <c r="K109" s="489"/>
      <c r="L109" s="543">
        <f>Tableau1[[#This Row],[Kg de DVE/T de MS]]*Tableau1[[#This Row],[T de MS]]</f>
        <v>0</v>
      </c>
    </row>
    <row r="110" spans="2:12" ht="21.5" thickBot="1" x14ac:dyDescent="0.55000000000000004">
      <c r="B110" s="50" t="s">
        <v>5</v>
      </c>
      <c r="C110" s="51"/>
      <c r="D110" s="474">
        <f>SUM(D10:D18,D19,D21,D23,D25,D27,D29,D31:D34,D35,D40,D45,D50,D55,D60,D65,D70,D75,D80,D85,D90,D95,D100,D105)</f>
        <v>0</v>
      </c>
      <c r="E110" s="475"/>
      <c r="F110" s="476">
        <f>SUM(F10:F109)</f>
        <v>0</v>
      </c>
      <c r="G110" s="477"/>
      <c r="H110" s="478">
        <f>SUM(H10:H109)</f>
        <v>0</v>
      </c>
      <c r="I110" s="479"/>
      <c r="J110" s="538">
        <f>SUM(J10:J109)</f>
        <v>0</v>
      </c>
      <c r="K110" s="480"/>
      <c r="L110" s="544">
        <f>SUM(L10:L109)</f>
        <v>0</v>
      </c>
    </row>
  </sheetData>
  <sheetProtection sheet="1" formatColumns="0" selectLockedCells="1"/>
  <mergeCells count="4">
    <mergeCell ref="B1:K1"/>
    <mergeCell ref="B5:F5"/>
    <mergeCell ref="B6:D6"/>
    <mergeCell ref="B8:L8"/>
  </mergeCells>
  <dataValidations count="6">
    <dataValidation type="list" allowBlank="1" showInputMessage="1" showErrorMessage="1" sqref="C29:C30" xr:uid="{00653936-101F-4549-8497-04BCB5099610}">
      <formula1>"Grain,Paille"</formula1>
    </dataValidation>
    <dataValidation type="list" allowBlank="1" showInputMessage="1" showErrorMessage="1" sqref="C19:C20" xr:uid="{CA81783B-EBA4-4D73-A669-BDF81B1DB41D}">
      <formula1>"Grain d'épeautre,Paille d'épeautre"</formula1>
    </dataValidation>
    <dataValidation type="list" allowBlank="1" showInputMessage="1" showErrorMessage="1" sqref="C21:C22" xr:uid="{6C68E1E3-C52E-4106-84ED-49F459B9E3EC}">
      <formula1>"Grain d'escourgeons,Paille d'escourgeons"</formula1>
    </dataValidation>
    <dataValidation type="list" allowBlank="1" showInputMessage="1" showErrorMessage="1" sqref="C23:C24" xr:uid="{B30494D4-6295-463D-93E2-A71A32896CF1}">
      <formula1>"Grain de froment,Paille de froment"</formula1>
    </dataValidation>
    <dataValidation type="list" allowBlank="1" showInputMessage="1" showErrorMessage="1" sqref="C25:C26" xr:uid="{95B185F3-8E3D-4424-85F7-95B7FA9CEA46}">
      <formula1>"Grain de triticale,Paille de triticale"</formula1>
    </dataValidation>
    <dataValidation type="list" allowBlank="1" showInputMessage="1" showErrorMessage="1" sqref="C27:C28" xr:uid="{DAF4E86E-5AA1-4799-B487-5549FDE0CB7C}">
      <formula1>"Grain d'avoine,Paille d'avoine"</formula1>
    </dataValidation>
  </dataValidations>
  <hyperlinks>
    <hyperlink ref="B5" r:id="rId1" xr:uid="{0F295394-6DA9-4AB3-B2B2-78E34AFD2EA3}"/>
    <hyperlink ref="B6" r:id="rId2" xr:uid="{777EA0CA-9CBA-45B2-AC0C-776D951FFC1B}"/>
  </hyperlinks>
  <pageMargins left="0.7" right="0.7" top="0.75" bottom="0.75" header="0.3" footer="0.3"/>
  <pageSetup paperSize="9" orientation="portrait" r:id="rId3"/>
  <drawing r:id="rId4"/>
  <legacyDrawing r:id="rId5"/>
  <tableParts count="1">
    <tablePart r:id="rId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00B050"/>
  </sheetPr>
  <dimension ref="B1:P32"/>
  <sheetViews>
    <sheetView topLeftCell="B1" zoomScale="40" zoomScaleNormal="40" workbookViewId="0">
      <selection activeCell="B6" sqref="B6"/>
    </sheetView>
  </sheetViews>
  <sheetFormatPr baseColWidth="10" defaultRowHeight="14.5" x14ac:dyDescent="0.35"/>
  <cols>
    <col min="2" max="2" width="37" customWidth="1"/>
    <col min="3" max="3" width="35.453125" bestFit="1" customWidth="1"/>
    <col min="4" max="4" width="25.54296875" customWidth="1"/>
    <col min="5" max="5" width="29" customWidth="1"/>
    <col min="6" max="6" width="57" customWidth="1"/>
    <col min="7" max="7" width="27.81640625" customWidth="1"/>
    <col min="8" max="8" width="31" customWidth="1"/>
    <col min="9" max="9" width="37" customWidth="1"/>
    <col min="10" max="10" width="38.453125" customWidth="1"/>
    <col min="12" max="12" width="25" customWidth="1"/>
    <col min="13" max="13" width="22.453125" customWidth="1"/>
    <col min="14" max="14" width="19.54296875" customWidth="1"/>
    <col min="15" max="15" width="22.81640625" customWidth="1"/>
    <col min="16" max="16" width="21.453125" customWidth="1"/>
  </cols>
  <sheetData>
    <row r="1" spans="2:16" ht="26.5" thickBot="1" x14ac:dyDescent="0.65">
      <c r="B1" s="562" t="s">
        <v>146</v>
      </c>
      <c r="C1" s="563"/>
      <c r="D1" s="563"/>
      <c r="E1" s="563"/>
      <c r="F1" s="563"/>
      <c r="G1" s="563"/>
      <c r="H1" s="563"/>
      <c r="I1" s="563"/>
      <c r="J1" s="564"/>
    </row>
    <row r="3" spans="2:16" ht="15" thickBot="1" x14ac:dyDescent="0.4"/>
    <row r="4" spans="2:16" ht="26.5" thickBot="1" x14ac:dyDescent="0.65">
      <c r="B4" s="569" t="s">
        <v>332</v>
      </c>
      <c r="C4" s="570"/>
      <c r="D4" s="570"/>
      <c r="E4" s="570"/>
      <c r="F4" s="570"/>
      <c r="G4" s="570"/>
      <c r="H4" s="570"/>
      <c r="I4" s="570"/>
      <c r="J4" s="571"/>
      <c r="L4" s="572" t="s">
        <v>293</v>
      </c>
      <c r="M4" s="573"/>
      <c r="N4" s="573"/>
      <c r="O4" s="573"/>
      <c r="P4" s="574"/>
    </row>
    <row r="5" spans="2:16" ht="21.5" thickBot="1" x14ac:dyDescent="0.55000000000000004">
      <c r="B5" s="56" t="s">
        <v>74</v>
      </c>
      <c r="C5" s="335" t="s">
        <v>108</v>
      </c>
      <c r="D5" s="57" t="s">
        <v>1</v>
      </c>
      <c r="E5" s="58" t="s">
        <v>93</v>
      </c>
      <c r="F5" s="59" t="s">
        <v>81</v>
      </c>
      <c r="G5" s="58" t="s">
        <v>77</v>
      </c>
      <c r="H5" s="57" t="s">
        <v>78</v>
      </c>
      <c r="I5" s="58" t="s">
        <v>79</v>
      </c>
      <c r="J5" s="60" t="s">
        <v>80</v>
      </c>
      <c r="L5" s="61"/>
      <c r="M5" s="575" t="s">
        <v>112</v>
      </c>
      <c r="N5" s="576"/>
      <c r="O5" s="577" t="s">
        <v>113</v>
      </c>
      <c r="P5" s="576"/>
    </row>
    <row r="6" spans="2:16" ht="19" thickBot="1" x14ac:dyDescent="0.5">
      <c r="B6" s="373"/>
      <c r="C6" s="362"/>
      <c r="D6" s="363"/>
      <c r="E6" s="364"/>
      <c r="F6" s="365"/>
      <c r="G6" s="366"/>
      <c r="H6" s="187">
        <f t="shared" ref="H6:H31" si="0">($F6/180)*$D6*$E6</f>
        <v>0</v>
      </c>
      <c r="I6" s="367">
        <f>H6*IF(G6="BONNE",1000000,IF(G6="MOYENNE",920000,840000))</f>
        <v>0</v>
      </c>
      <c r="J6" s="374">
        <f>$H6*IF($G6="BONNE",95,IF($G6="MOYENNE",80,65))</f>
        <v>0</v>
      </c>
      <c r="L6" s="62" t="s">
        <v>82</v>
      </c>
      <c r="M6" s="348" t="s">
        <v>109</v>
      </c>
      <c r="N6" s="63" t="s">
        <v>94</v>
      </c>
      <c r="O6" s="63" t="s">
        <v>110</v>
      </c>
      <c r="P6" s="64" t="s">
        <v>111</v>
      </c>
    </row>
    <row r="7" spans="2:16" ht="19" thickBot="1" x14ac:dyDescent="0.5">
      <c r="B7" s="375"/>
      <c r="C7" s="268"/>
      <c r="D7" s="274"/>
      <c r="E7" s="275"/>
      <c r="F7" s="276"/>
      <c r="G7" s="372"/>
      <c r="H7" s="126">
        <f t="shared" si="0"/>
        <v>0</v>
      </c>
      <c r="I7" s="367">
        <f t="shared" ref="I7:I31" si="1">H7*IF(G7="BONNE",1000000,IF(G7="MOYENNE",920000,840000))</f>
        <v>0</v>
      </c>
      <c r="J7" s="376">
        <f t="shared" ref="J7:J31" si="2">$H7*IF($G7="BONNE",95,IF($G7="MOYENNE",80,65))</f>
        <v>0</v>
      </c>
      <c r="L7" s="153" t="s">
        <v>83</v>
      </c>
      <c r="M7" s="154" t="s">
        <v>95</v>
      </c>
      <c r="N7" s="155">
        <f>AVERAGE(6,10)</f>
        <v>8</v>
      </c>
      <c r="O7" s="154" t="s">
        <v>102</v>
      </c>
      <c r="P7" s="156">
        <f>AVERAGE(7,14)</f>
        <v>10.5</v>
      </c>
    </row>
    <row r="8" spans="2:16" ht="19" thickBot="1" x14ac:dyDescent="0.5">
      <c r="B8" s="375"/>
      <c r="C8" s="268"/>
      <c r="D8" s="274"/>
      <c r="E8" s="275"/>
      <c r="F8" s="276"/>
      <c r="G8" s="372"/>
      <c r="H8" s="126">
        <f t="shared" si="0"/>
        <v>0</v>
      </c>
      <c r="I8" s="367">
        <f t="shared" si="1"/>
        <v>0</v>
      </c>
      <c r="J8" s="376">
        <f t="shared" si="2"/>
        <v>0</v>
      </c>
      <c r="L8" s="157" t="s">
        <v>84</v>
      </c>
      <c r="M8" s="158" t="s">
        <v>96</v>
      </c>
      <c r="N8" s="159">
        <f>AVERAGE(6.5,11)</f>
        <v>8.75</v>
      </c>
      <c r="O8" s="158" t="s">
        <v>103</v>
      </c>
      <c r="P8" s="160">
        <f>AVERAGE(7.5,15)</f>
        <v>11.25</v>
      </c>
    </row>
    <row r="9" spans="2:16" ht="19" thickBot="1" x14ac:dyDescent="0.5">
      <c r="B9" s="375"/>
      <c r="C9" s="268"/>
      <c r="D9" s="274"/>
      <c r="E9" s="275"/>
      <c r="F9" s="276"/>
      <c r="G9" s="372"/>
      <c r="H9" s="126">
        <f t="shared" si="0"/>
        <v>0</v>
      </c>
      <c r="I9" s="367">
        <f t="shared" si="1"/>
        <v>0</v>
      </c>
      <c r="J9" s="376">
        <f t="shared" si="2"/>
        <v>0</v>
      </c>
      <c r="L9" s="157" t="s">
        <v>85</v>
      </c>
      <c r="M9" s="158" t="s">
        <v>97</v>
      </c>
      <c r="N9" s="159">
        <f>AVERAGE(6.5,11)</f>
        <v>8.75</v>
      </c>
      <c r="O9" s="158" t="s">
        <v>103</v>
      </c>
      <c r="P9" s="160">
        <f>AVERAGE(7.5,15)</f>
        <v>11.25</v>
      </c>
    </row>
    <row r="10" spans="2:16" ht="19" thickBot="1" x14ac:dyDescent="0.5">
      <c r="B10" s="375"/>
      <c r="C10" s="268"/>
      <c r="D10" s="274"/>
      <c r="E10" s="275"/>
      <c r="F10" s="276"/>
      <c r="G10" s="372"/>
      <c r="H10" s="126">
        <f t="shared" si="0"/>
        <v>0</v>
      </c>
      <c r="I10" s="367">
        <f t="shared" si="1"/>
        <v>0</v>
      </c>
      <c r="J10" s="376">
        <f t="shared" si="2"/>
        <v>0</v>
      </c>
      <c r="L10" s="157" t="s">
        <v>86</v>
      </c>
      <c r="M10" s="158" t="s">
        <v>98</v>
      </c>
      <c r="N10" s="159">
        <f>AVERAGE(4.5,7)</f>
        <v>5.75</v>
      </c>
      <c r="O10" s="158" t="s">
        <v>104</v>
      </c>
      <c r="P10" s="160">
        <f>AVERAGE(5.5,11)</f>
        <v>8.25</v>
      </c>
    </row>
    <row r="11" spans="2:16" ht="19" thickBot="1" x14ac:dyDescent="0.5">
      <c r="B11" s="375"/>
      <c r="C11" s="268"/>
      <c r="D11" s="274"/>
      <c r="E11" s="275"/>
      <c r="F11" s="276"/>
      <c r="G11" s="372"/>
      <c r="H11" s="126">
        <f t="shared" si="0"/>
        <v>0</v>
      </c>
      <c r="I11" s="367">
        <f t="shared" si="1"/>
        <v>0</v>
      </c>
      <c r="J11" s="376">
        <f t="shared" si="2"/>
        <v>0</v>
      </c>
      <c r="L11" s="157" t="s">
        <v>87</v>
      </c>
      <c r="M11" s="158" t="s">
        <v>99</v>
      </c>
      <c r="N11" s="159">
        <f>AVERAGE(5,8)</f>
        <v>6.5</v>
      </c>
      <c r="O11" s="158" t="s">
        <v>105</v>
      </c>
      <c r="P11" s="160">
        <f>AVERAGE(6,12)</f>
        <v>9</v>
      </c>
    </row>
    <row r="12" spans="2:16" ht="19" thickBot="1" x14ac:dyDescent="0.5">
      <c r="B12" s="375"/>
      <c r="C12" s="268"/>
      <c r="D12" s="274"/>
      <c r="E12" s="275"/>
      <c r="F12" s="276"/>
      <c r="G12" s="372"/>
      <c r="H12" s="126">
        <f t="shared" si="0"/>
        <v>0</v>
      </c>
      <c r="I12" s="367">
        <f t="shared" si="1"/>
        <v>0</v>
      </c>
      <c r="J12" s="376">
        <f t="shared" si="2"/>
        <v>0</v>
      </c>
      <c r="L12" s="157" t="s">
        <v>88</v>
      </c>
      <c r="M12" s="158" t="s">
        <v>100</v>
      </c>
      <c r="N12" s="159">
        <f>AVERAGE(5.5,9)</f>
        <v>7.25</v>
      </c>
      <c r="O12" s="158" t="s">
        <v>106</v>
      </c>
      <c r="P12" s="160">
        <f>AVERAGE(6.5,13)</f>
        <v>9.75</v>
      </c>
    </row>
    <row r="13" spans="2:16" ht="19" thickBot="1" x14ac:dyDescent="0.5">
      <c r="B13" s="375"/>
      <c r="C13" s="268"/>
      <c r="D13" s="274"/>
      <c r="E13" s="275"/>
      <c r="F13" s="276"/>
      <c r="G13" s="372"/>
      <c r="H13" s="126">
        <f t="shared" si="0"/>
        <v>0</v>
      </c>
      <c r="I13" s="367">
        <f t="shared" si="1"/>
        <v>0</v>
      </c>
      <c r="J13" s="376">
        <f t="shared" si="2"/>
        <v>0</v>
      </c>
      <c r="L13" s="157" t="s">
        <v>89</v>
      </c>
      <c r="M13" s="158" t="s">
        <v>96</v>
      </c>
      <c r="N13" s="159">
        <f>N9</f>
        <v>8.75</v>
      </c>
      <c r="O13" s="158" t="s">
        <v>103</v>
      </c>
      <c r="P13" s="160">
        <f>AVERAGE(7.5,15)</f>
        <v>11.25</v>
      </c>
    </row>
    <row r="14" spans="2:16" ht="19" thickBot="1" x14ac:dyDescent="0.5">
      <c r="B14" s="375"/>
      <c r="C14" s="268"/>
      <c r="D14" s="274"/>
      <c r="E14" s="275"/>
      <c r="F14" s="276"/>
      <c r="G14" s="372"/>
      <c r="H14" s="126">
        <f t="shared" si="0"/>
        <v>0</v>
      </c>
      <c r="I14" s="367">
        <f t="shared" si="1"/>
        <v>0</v>
      </c>
      <c r="J14" s="376">
        <f t="shared" si="2"/>
        <v>0</v>
      </c>
      <c r="L14" s="157" t="s">
        <v>90</v>
      </c>
      <c r="M14" s="158" t="s">
        <v>96</v>
      </c>
      <c r="N14" s="159">
        <f>N13</f>
        <v>8.75</v>
      </c>
      <c r="O14" s="158" t="s">
        <v>103</v>
      </c>
      <c r="P14" s="160">
        <f>P13</f>
        <v>11.25</v>
      </c>
    </row>
    <row r="15" spans="2:16" ht="19" thickBot="1" x14ac:dyDescent="0.5">
      <c r="B15" s="375"/>
      <c r="C15" s="268"/>
      <c r="D15" s="274"/>
      <c r="E15" s="275"/>
      <c r="F15" s="276"/>
      <c r="G15" s="372"/>
      <c r="H15" s="126">
        <f t="shared" si="0"/>
        <v>0</v>
      </c>
      <c r="I15" s="367">
        <f t="shared" si="1"/>
        <v>0</v>
      </c>
      <c r="J15" s="376">
        <f t="shared" si="2"/>
        <v>0</v>
      </c>
      <c r="L15" s="157" t="s">
        <v>91</v>
      </c>
      <c r="M15" s="158" t="s">
        <v>101</v>
      </c>
      <c r="N15" s="161">
        <f>N16</f>
        <v>9</v>
      </c>
      <c r="O15" s="158" t="s">
        <v>107</v>
      </c>
      <c r="P15" s="160">
        <f>AVERAGE(8,16)</f>
        <v>12</v>
      </c>
    </row>
    <row r="16" spans="2:16" ht="19" thickBot="1" x14ac:dyDescent="0.5">
      <c r="B16" s="375"/>
      <c r="C16" s="268"/>
      <c r="D16" s="274"/>
      <c r="E16" s="275"/>
      <c r="F16" s="276"/>
      <c r="G16" s="372"/>
      <c r="H16" s="126">
        <f t="shared" si="0"/>
        <v>0</v>
      </c>
      <c r="I16" s="367">
        <f t="shared" si="1"/>
        <v>0</v>
      </c>
      <c r="J16" s="376">
        <f t="shared" si="2"/>
        <v>0</v>
      </c>
      <c r="L16" s="70" t="s">
        <v>92</v>
      </c>
      <c r="M16" s="162" t="s">
        <v>101</v>
      </c>
      <c r="N16" s="163">
        <f>AVERAGE(7,11)</f>
        <v>9</v>
      </c>
      <c r="O16" s="162" t="s">
        <v>107</v>
      </c>
      <c r="P16" s="164">
        <f>AVERAGE(8,16)</f>
        <v>12</v>
      </c>
    </row>
    <row r="17" spans="2:10" ht="19" thickBot="1" x14ac:dyDescent="0.5">
      <c r="B17" s="375"/>
      <c r="C17" s="268"/>
      <c r="D17" s="274"/>
      <c r="E17" s="275"/>
      <c r="F17" s="276"/>
      <c r="G17" s="372"/>
      <c r="H17" s="126">
        <f t="shared" si="0"/>
        <v>0</v>
      </c>
      <c r="I17" s="367">
        <f t="shared" si="1"/>
        <v>0</v>
      </c>
      <c r="J17" s="376">
        <f t="shared" si="2"/>
        <v>0</v>
      </c>
    </row>
    <row r="18" spans="2:10" ht="19" thickBot="1" x14ac:dyDescent="0.5">
      <c r="B18" s="375"/>
      <c r="C18" s="268"/>
      <c r="D18" s="274"/>
      <c r="E18" s="275"/>
      <c r="F18" s="276"/>
      <c r="G18" s="372"/>
      <c r="H18" s="126">
        <f t="shared" si="0"/>
        <v>0</v>
      </c>
      <c r="I18" s="367">
        <f t="shared" si="1"/>
        <v>0</v>
      </c>
      <c r="J18" s="376">
        <f t="shared" si="2"/>
        <v>0</v>
      </c>
    </row>
    <row r="19" spans="2:10" ht="19" thickBot="1" x14ac:dyDescent="0.5">
      <c r="B19" s="375"/>
      <c r="C19" s="268"/>
      <c r="D19" s="274"/>
      <c r="E19" s="275"/>
      <c r="F19" s="276"/>
      <c r="G19" s="372"/>
      <c r="H19" s="126">
        <f t="shared" si="0"/>
        <v>0</v>
      </c>
      <c r="I19" s="367">
        <f t="shared" si="1"/>
        <v>0</v>
      </c>
      <c r="J19" s="376">
        <f t="shared" si="2"/>
        <v>0</v>
      </c>
    </row>
    <row r="20" spans="2:10" ht="19" thickBot="1" x14ac:dyDescent="0.5">
      <c r="B20" s="375"/>
      <c r="C20" s="268"/>
      <c r="D20" s="274"/>
      <c r="E20" s="275"/>
      <c r="F20" s="276"/>
      <c r="G20" s="372"/>
      <c r="H20" s="126">
        <f t="shared" si="0"/>
        <v>0</v>
      </c>
      <c r="I20" s="367">
        <f t="shared" si="1"/>
        <v>0</v>
      </c>
      <c r="J20" s="376">
        <f t="shared" si="2"/>
        <v>0</v>
      </c>
    </row>
    <row r="21" spans="2:10" ht="19" thickBot="1" x14ac:dyDescent="0.5">
      <c r="B21" s="375"/>
      <c r="C21" s="268"/>
      <c r="D21" s="274"/>
      <c r="E21" s="275"/>
      <c r="F21" s="276"/>
      <c r="G21" s="372"/>
      <c r="H21" s="126">
        <f t="shared" si="0"/>
        <v>0</v>
      </c>
      <c r="I21" s="367">
        <f t="shared" si="1"/>
        <v>0</v>
      </c>
      <c r="J21" s="376">
        <f t="shared" si="2"/>
        <v>0</v>
      </c>
    </row>
    <row r="22" spans="2:10" ht="19" thickBot="1" x14ac:dyDescent="0.5">
      <c r="B22" s="375"/>
      <c r="C22" s="268"/>
      <c r="D22" s="274"/>
      <c r="E22" s="275"/>
      <c r="F22" s="276"/>
      <c r="G22" s="372"/>
      <c r="H22" s="126">
        <f t="shared" si="0"/>
        <v>0</v>
      </c>
      <c r="I22" s="367">
        <f t="shared" si="1"/>
        <v>0</v>
      </c>
      <c r="J22" s="376">
        <f t="shared" si="2"/>
        <v>0</v>
      </c>
    </row>
    <row r="23" spans="2:10" ht="19" thickBot="1" x14ac:dyDescent="0.5">
      <c r="B23" s="375"/>
      <c r="C23" s="268"/>
      <c r="D23" s="274"/>
      <c r="E23" s="275"/>
      <c r="F23" s="276"/>
      <c r="G23" s="372"/>
      <c r="H23" s="126">
        <f t="shared" si="0"/>
        <v>0</v>
      </c>
      <c r="I23" s="367">
        <f t="shared" si="1"/>
        <v>0</v>
      </c>
      <c r="J23" s="376">
        <f t="shared" si="2"/>
        <v>0</v>
      </c>
    </row>
    <row r="24" spans="2:10" ht="19" thickBot="1" x14ac:dyDescent="0.5">
      <c r="B24" s="375"/>
      <c r="C24" s="268"/>
      <c r="D24" s="274"/>
      <c r="E24" s="275"/>
      <c r="F24" s="276"/>
      <c r="G24" s="372"/>
      <c r="H24" s="126">
        <f t="shared" si="0"/>
        <v>0</v>
      </c>
      <c r="I24" s="367">
        <f t="shared" si="1"/>
        <v>0</v>
      </c>
      <c r="J24" s="376">
        <f t="shared" si="2"/>
        <v>0</v>
      </c>
    </row>
    <row r="25" spans="2:10" ht="19" thickBot="1" x14ac:dyDescent="0.5">
      <c r="B25" s="375"/>
      <c r="C25" s="268"/>
      <c r="D25" s="274"/>
      <c r="E25" s="275"/>
      <c r="F25" s="276"/>
      <c r="G25" s="372"/>
      <c r="H25" s="126">
        <f t="shared" si="0"/>
        <v>0</v>
      </c>
      <c r="I25" s="367">
        <f t="shared" si="1"/>
        <v>0</v>
      </c>
      <c r="J25" s="376">
        <f t="shared" si="2"/>
        <v>0</v>
      </c>
    </row>
    <row r="26" spans="2:10" ht="19" thickBot="1" x14ac:dyDescent="0.5">
      <c r="B26" s="375"/>
      <c r="C26" s="268"/>
      <c r="D26" s="274"/>
      <c r="E26" s="275"/>
      <c r="F26" s="276"/>
      <c r="G26" s="372"/>
      <c r="H26" s="126">
        <f t="shared" si="0"/>
        <v>0</v>
      </c>
      <c r="I26" s="367">
        <f t="shared" si="1"/>
        <v>0</v>
      </c>
      <c r="J26" s="376">
        <f t="shared" si="2"/>
        <v>0</v>
      </c>
    </row>
    <row r="27" spans="2:10" ht="19" thickBot="1" x14ac:dyDescent="0.5">
      <c r="B27" s="375"/>
      <c r="C27" s="268"/>
      <c r="D27" s="274"/>
      <c r="E27" s="275"/>
      <c r="F27" s="276"/>
      <c r="G27" s="372"/>
      <c r="H27" s="126">
        <f t="shared" si="0"/>
        <v>0</v>
      </c>
      <c r="I27" s="367">
        <f t="shared" si="1"/>
        <v>0</v>
      </c>
      <c r="J27" s="376">
        <f t="shared" si="2"/>
        <v>0</v>
      </c>
    </row>
    <row r="28" spans="2:10" ht="19" thickBot="1" x14ac:dyDescent="0.5">
      <c r="B28" s="375"/>
      <c r="C28" s="268"/>
      <c r="D28" s="274"/>
      <c r="E28" s="275"/>
      <c r="F28" s="276"/>
      <c r="G28" s="372"/>
      <c r="H28" s="126">
        <f t="shared" si="0"/>
        <v>0</v>
      </c>
      <c r="I28" s="367">
        <f t="shared" si="1"/>
        <v>0</v>
      </c>
      <c r="J28" s="376">
        <f t="shared" si="2"/>
        <v>0</v>
      </c>
    </row>
    <row r="29" spans="2:10" ht="19" thickBot="1" x14ac:dyDescent="0.5">
      <c r="B29" s="375"/>
      <c r="C29" s="268"/>
      <c r="D29" s="274"/>
      <c r="E29" s="275"/>
      <c r="F29" s="276"/>
      <c r="G29" s="372"/>
      <c r="H29" s="126">
        <f t="shared" si="0"/>
        <v>0</v>
      </c>
      <c r="I29" s="367">
        <f>H29*IF(G29="BONNE",1000000,IF(G29="MOYENNE",920000,840000))</f>
        <v>0</v>
      </c>
      <c r="J29" s="376">
        <f t="shared" si="2"/>
        <v>0</v>
      </c>
    </row>
    <row r="30" spans="2:10" ht="19" thickBot="1" x14ac:dyDescent="0.5">
      <c r="B30" s="375"/>
      <c r="C30" s="268"/>
      <c r="D30" s="274"/>
      <c r="E30" s="275"/>
      <c r="F30" s="276"/>
      <c r="G30" s="372"/>
      <c r="H30" s="126">
        <f t="shared" si="0"/>
        <v>0</v>
      </c>
      <c r="I30" s="367">
        <f t="shared" si="1"/>
        <v>0</v>
      </c>
      <c r="J30" s="376">
        <f t="shared" si="2"/>
        <v>0</v>
      </c>
    </row>
    <row r="31" spans="2:10" ht="19" thickBot="1" x14ac:dyDescent="0.5">
      <c r="B31" s="377"/>
      <c r="C31" s="368"/>
      <c r="D31" s="369"/>
      <c r="E31" s="370"/>
      <c r="F31" s="371"/>
      <c r="G31" s="277"/>
      <c r="H31" s="188">
        <f t="shared" si="0"/>
        <v>0</v>
      </c>
      <c r="I31" s="367">
        <f t="shared" si="1"/>
        <v>0</v>
      </c>
      <c r="J31" s="378">
        <f t="shared" si="2"/>
        <v>0</v>
      </c>
    </row>
    <row r="32" spans="2:10" ht="21" x14ac:dyDescent="0.5">
      <c r="B32" s="379" t="s">
        <v>75</v>
      </c>
      <c r="C32" s="380"/>
      <c r="D32" s="381">
        <f>SUM(D6:D31)</f>
        <v>0</v>
      </c>
      <c r="E32" s="382"/>
      <c r="F32" s="383"/>
      <c r="G32" s="383"/>
      <c r="H32" s="384">
        <f>SUM(H6:H31)</f>
        <v>0</v>
      </c>
      <c r="I32" s="385">
        <f>SUM(I6:I31)</f>
        <v>0</v>
      </c>
      <c r="J32" s="386">
        <f>SUM(J6:J31)</f>
        <v>0</v>
      </c>
    </row>
  </sheetData>
  <sheetProtection sheet="1" formatColumns="0" selectLockedCells="1"/>
  <mergeCells count="5">
    <mergeCell ref="B4:J4"/>
    <mergeCell ref="B1:J1"/>
    <mergeCell ref="L4:P4"/>
    <mergeCell ref="M5:N5"/>
    <mergeCell ref="O5:P5"/>
  </mergeCells>
  <dataValidations count="2">
    <dataValidation type="list" allowBlank="1" showInputMessage="1" showErrorMessage="1" sqref="G6:G31" xr:uid="{00000000-0002-0000-0300-000000000000}">
      <formula1>"BONNE,MOYENNE,MEDIOCRE"</formula1>
    </dataValidation>
    <dataValidation type="list" allowBlank="1" showInputMessage="1" showErrorMessage="1" sqref="B6:B31" xr:uid="{00000000-0002-0000-0300-000001000000}">
      <formula1>"Prairie permanente,Prairie temporaire"</formula1>
    </dataValidation>
  </dataValidations>
  <pageMargins left="0.7" right="0.7" top="0.75" bottom="0.75" header="0.3" footer="0.3"/>
  <pageSetup paperSize="9" orientation="portrait"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theme="5" tint="-0.249977111117893"/>
  </sheetPr>
  <dimension ref="B1:I13"/>
  <sheetViews>
    <sheetView topLeftCell="B1" zoomScale="70" zoomScaleNormal="70" workbookViewId="0">
      <selection activeCell="H6" activeCellId="2" sqref="C6:D12 F6:F12 H6:H12"/>
    </sheetView>
  </sheetViews>
  <sheetFormatPr baseColWidth="10" defaultRowHeight="14.5" x14ac:dyDescent="0.35"/>
  <cols>
    <col min="2" max="2" width="33.81640625" customWidth="1"/>
    <col min="3" max="3" width="24.26953125" customWidth="1"/>
    <col min="4" max="4" width="18.453125" customWidth="1"/>
    <col min="5" max="5" width="24.54296875" bestFit="1" customWidth="1"/>
    <col min="6" max="6" width="41.453125" bestFit="1" customWidth="1"/>
    <col min="7" max="7" width="42.1796875" bestFit="1" customWidth="1"/>
    <col min="8" max="8" width="39.08984375" bestFit="1" customWidth="1"/>
    <col min="9" max="9" width="40.90625" bestFit="1" customWidth="1"/>
  </cols>
  <sheetData>
    <row r="1" spans="2:9" ht="26.5" thickBot="1" x14ac:dyDescent="0.65">
      <c r="B1" s="562" t="s">
        <v>321</v>
      </c>
      <c r="C1" s="578"/>
      <c r="D1" s="578"/>
      <c r="E1" s="578"/>
      <c r="F1" s="578"/>
      <c r="G1" s="579"/>
    </row>
    <row r="4" spans="2:9" ht="15" thickBot="1" x14ac:dyDescent="0.4"/>
    <row r="5" spans="2:9" ht="26.5" thickBot="1" x14ac:dyDescent="0.65">
      <c r="B5" s="206" t="s">
        <v>177</v>
      </c>
      <c r="C5" s="91" t="s">
        <v>60</v>
      </c>
      <c r="D5" s="91" t="s">
        <v>67</v>
      </c>
      <c r="E5" s="92" t="s">
        <v>64</v>
      </c>
      <c r="F5" s="92" t="s">
        <v>65</v>
      </c>
      <c r="G5" s="513" t="s">
        <v>358</v>
      </c>
      <c r="H5" s="93" t="s">
        <v>66</v>
      </c>
      <c r="I5" s="361" t="s">
        <v>359</v>
      </c>
    </row>
    <row r="6" spans="2:9" ht="18.5" x14ac:dyDescent="0.45">
      <c r="B6" s="186" t="s">
        <v>178</v>
      </c>
      <c r="C6" s="499"/>
      <c r="D6" s="429"/>
      <c r="E6" s="498">
        <f>$C6*$D6</f>
        <v>0</v>
      </c>
      <c r="F6" s="466"/>
      <c r="G6" s="526">
        <f>Tableau51011121510[[#This Row],[VEM/T de MS]]*Tableau51011121510[[#This Row],[ T de MS]]</f>
        <v>0</v>
      </c>
      <c r="H6" s="492"/>
      <c r="I6" s="529">
        <f>Tableau51011121510[[#This Row],[Kg de DVE/T de MS]]*Tableau51011121510[[#This Row],[ T de MS]]</f>
        <v>0</v>
      </c>
    </row>
    <row r="7" spans="2:9" ht="18.5" x14ac:dyDescent="0.45">
      <c r="B7" s="151" t="s">
        <v>179</v>
      </c>
      <c r="C7" s="500"/>
      <c r="D7" s="433"/>
      <c r="E7" s="178">
        <f t="shared" ref="E7:E12" si="0">$C7*$D7</f>
        <v>0</v>
      </c>
      <c r="F7" s="467"/>
      <c r="G7" s="527">
        <f>Tableau51011121510[[#This Row],[VEM/T de MS]]*Tableau51011121510[[#This Row],[ T de MS]]</f>
        <v>0</v>
      </c>
      <c r="H7" s="493"/>
      <c r="I7" s="530">
        <f>Tableau51011121510[[#This Row],[Kg de DVE/T de MS]]*Tableau51011121510[[#This Row],[ T de MS]]</f>
        <v>0</v>
      </c>
    </row>
    <row r="8" spans="2:9" ht="18.5" x14ac:dyDescent="0.45">
      <c r="B8" s="151" t="s">
        <v>162</v>
      </c>
      <c r="C8" s="500"/>
      <c r="D8" s="433"/>
      <c r="E8" s="178">
        <f t="shared" si="0"/>
        <v>0</v>
      </c>
      <c r="F8" s="467"/>
      <c r="G8" s="527">
        <f>Tableau51011121510[[#This Row],[VEM/T de MS]]*Tableau51011121510[[#This Row],[ T de MS]]</f>
        <v>0</v>
      </c>
      <c r="H8" s="493"/>
      <c r="I8" s="530">
        <f>Tableau51011121510[[#This Row],[Kg de DVE/T de MS]]*Tableau51011121510[[#This Row],[ T de MS]]</f>
        <v>0</v>
      </c>
    </row>
    <row r="9" spans="2:9" ht="18.5" x14ac:dyDescent="0.45">
      <c r="B9" s="151" t="s">
        <v>163</v>
      </c>
      <c r="C9" s="500"/>
      <c r="D9" s="433"/>
      <c r="E9" s="178">
        <f>$C9*$D9</f>
        <v>0</v>
      </c>
      <c r="F9" s="467"/>
      <c r="G9" s="527">
        <f>Tableau51011121510[[#This Row],[VEM/T de MS]]*Tableau51011121510[[#This Row],[ T de MS]]</f>
        <v>0</v>
      </c>
      <c r="H9" s="493"/>
      <c r="I9" s="530">
        <f>Tableau51011121510[[#This Row],[Kg de DVE/T de MS]]*Tableau51011121510[[#This Row],[ T de MS]]</f>
        <v>0</v>
      </c>
    </row>
    <row r="10" spans="2:9" ht="18.5" x14ac:dyDescent="0.45">
      <c r="B10" s="151" t="s">
        <v>148</v>
      </c>
      <c r="C10" s="500"/>
      <c r="D10" s="433"/>
      <c r="E10" s="178">
        <f t="shared" si="0"/>
        <v>0</v>
      </c>
      <c r="F10" s="467"/>
      <c r="G10" s="527">
        <f>Tableau51011121510[[#This Row],[VEM/T de MS]]*Tableau51011121510[[#This Row],[ T de MS]]</f>
        <v>0</v>
      </c>
      <c r="H10" s="493"/>
      <c r="I10" s="530">
        <f>Tableau51011121510[[#This Row],[Kg de DVE/T de MS]]*Tableau51011121510[[#This Row],[ T de MS]]</f>
        <v>0</v>
      </c>
    </row>
    <row r="11" spans="2:9" ht="18.5" x14ac:dyDescent="0.45">
      <c r="B11" s="151" t="s">
        <v>4</v>
      </c>
      <c r="C11" s="500"/>
      <c r="D11" s="433"/>
      <c r="E11" s="178">
        <f t="shared" si="0"/>
        <v>0</v>
      </c>
      <c r="F11" s="467"/>
      <c r="G11" s="527">
        <f>Tableau51011121510[[#This Row],[VEM/T de MS]]*Tableau51011121510[[#This Row],[ T de MS]]</f>
        <v>0</v>
      </c>
      <c r="H11" s="493"/>
      <c r="I11" s="530">
        <f>Tableau51011121510[[#This Row],[Kg de DVE/T de MS]]*Tableau51011121510[[#This Row],[ T de MS]]</f>
        <v>0</v>
      </c>
    </row>
    <row r="12" spans="2:9" ht="19" thickBot="1" x14ac:dyDescent="0.5">
      <c r="B12" s="292" t="s">
        <v>333</v>
      </c>
      <c r="C12" s="501"/>
      <c r="D12" s="430"/>
      <c r="E12" s="424">
        <f t="shared" si="0"/>
        <v>0</v>
      </c>
      <c r="F12" s="468"/>
      <c r="G12" s="528">
        <f>Tableau51011121510[[#This Row],[VEM/T de MS]]*Tableau51011121510[[#This Row],[ T de MS]]</f>
        <v>0</v>
      </c>
      <c r="H12" s="494"/>
      <c r="I12" s="531">
        <f>Tableau51011121510[[#This Row],[Kg de DVE/T de MS]]*Tableau51011121510[[#This Row],[ T de MS]]</f>
        <v>0</v>
      </c>
    </row>
    <row r="13" spans="2:9" ht="26.5" thickBot="1" x14ac:dyDescent="0.65">
      <c r="B13" s="293" t="s">
        <v>5</v>
      </c>
      <c r="C13" s="294">
        <f>SUM(C6:C12)</f>
        <v>0</v>
      </c>
      <c r="D13" s="294"/>
      <c r="E13" s="295">
        <f>SUM(E6:E12)</f>
        <v>0</v>
      </c>
      <c r="F13" s="496"/>
      <c r="G13" s="514">
        <f>SUM(G6:G12)</f>
        <v>0</v>
      </c>
      <c r="H13" s="497"/>
      <c r="I13" s="532">
        <f>SUM(I6:I12)</f>
        <v>0</v>
      </c>
    </row>
  </sheetData>
  <sheetProtection sheet="1" objects="1" scenarios="1" formatColumns="0" selectLockedCells="1"/>
  <mergeCells count="1">
    <mergeCell ref="B1:G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0070C0"/>
  </sheetPr>
  <dimension ref="B1:C7"/>
  <sheetViews>
    <sheetView zoomScaleNormal="100" workbookViewId="0">
      <selection activeCell="E6" sqref="E6"/>
    </sheetView>
  </sheetViews>
  <sheetFormatPr baseColWidth="10" defaultRowHeight="14.5" x14ac:dyDescent="0.35"/>
  <cols>
    <col min="1" max="1" width="7.1796875" customWidth="1"/>
    <col min="2" max="2" width="22.81640625" customWidth="1"/>
    <col min="3" max="3" width="26.453125" customWidth="1"/>
  </cols>
  <sheetData>
    <row r="1" spans="2:3" ht="26.5" thickBot="1" x14ac:dyDescent="0.65">
      <c r="B1" s="562" t="s">
        <v>147</v>
      </c>
      <c r="C1" s="579"/>
    </row>
    <row r="3" spans="2:3" ht="15" thickBot="1" x14ac:dyDescent="0.4"/>
    <row r="4" spans="2:3" ht="26" x14ac:dyDescent="0.6">
      <c r="B4" s="582" t="s">
        <v>63</v>
      </c>
      <c r="C4" s="583"/>
    </row>
    <row r="5" spans="2:3" ht="26" x14ac:dyDescent="0.6">
      <c r="B5" s="584">
        <f>Récolte!H110+Pâturage!H32+Stock!E13</f>
        <v>0</v>
      </c>
      <c r="C5" s="585"/>
    </row>
    <row r="6" spans="2:3" ht="26" x14ac:dyDescent="0.6">
      <c r="B6" s="580">
        <f>Récolte!J110+Pâturage!I32+Stock!G13</f>
        <v>0</v>
      </c>
      <c r="C6" s="581"/>
    </row>
    <row r="7" spans="2:3" ht="26.5" thickBot="1" x14ac:dyDescent="0.65">
      <c r="B7" s="586">
        <f>Récolte!L110+Pâturage!J32+Stock!I13</f>
        <v>0</v>
      </c>
      <c r="C7" s="587"/>
    </row>
  </sheetData>
  <sheetProtection sheet="1" formatColumns="0" selectLockedCells="1"/>
  <mergeCells count="5">
    <mergeCell ref="B6:C6"/>
    <mergeCell ref="B4:C4"/>
    <mergeCell ref="B5:C5"/>
    <mergeCell ref="B7:C7"/>
    <mergeCell ref="B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9"/>
  </sheetPr>
  <dimension ref="A1:L23"/>
  <sheetViews>
    <sheetView zoomScale="40" zoomScaleNormal="40" workbookViewId="0">
      <selection activeCell="G9" activeCellId="2" sqref="C9:C21 F9:F21 G9:I10"/>
    </sheetView>
  </sheetViews>
  <sheetFormatPr baseColWidth="10" defaultRowHeight="14.5" x14ac:dyDescent="0.35"/>
  <cols>
    <col min="1" max="1" width="13.81640625" customWidth="1"/>
    <col min="2" max="2" width="49" bestFit="1" customWidth="1"/>
    <col min="3" max="3" width="23.81640625" bestFit="1" customWidth="1"/>
    <col min="4" max="4" width="30" style="12" customWidth="1"/>
    <col min="5" max="5" width="21.7265625" customWidth="1"/>
    <col min="6" max="6" width="29.1796875" style="14" customWidth="1"/>
    <col min="7" max="7" width="43.81640625" style="14" customWidth="1"/>
    <col min="8" max="9" width="39.54296875" style="14" customWidth="1"/>
    <col min="10" max="10" width="35.7265625" bestFit="1" customWidth="1"/>
    <col min="11" max="11" width="46.453125" customWidth="1"/>
    <col min="12" max="12" width="44" bestFit="1" customWidth="1"/>
  </cols>
  <sheetData>
    <row r="1" spans="1:12" ht="26.5" thickBot="1" x14ac:dyDescent="0.65">
      <c r="C1" s="562" t="s">
        <v>144</v>
      </c>
      <c r="D1" s="578"/>
      <c r="E1" s="588"/>
      <c r="F1" s="588"/>
      <c r="G1" s="588"/>
      <c r="H1" s="588"/>
      <c r="I1" s="588"/>
      <c r="J1" s="588"/>
      <c r="K1" s="588"/>
      <c r="L1" s="589"/>
    </row>
    <row r="2" spans="1:12" ht="13.5" customHeight="1" x14ac:dyDescent="0.6">
      <c r="C2" s="9"/>
      <c r="D2" s="9"/>
      <c r="E2" s="7"/>
      <c r="F2" s="8"/>
      <c r="G2" s="8"/>
      <c r="H2" s="8"/>
      <c r="I2" s="8"/>
      <c r="J2" s="7"/>
      <c r="K2" s="7"/>
      <c r="L2" s="7"/>
    </row>
    <row r="3" spans="1:12" ht="15" thickBot="1" x14ac:dyDescent="0.4">
      <c r="A3" t="s">
        <v>306</v>
      </c>
    </row>
    <row r="4" spans="1:12" ht="21" x14ac:dyDescent="0.5">
      <c r="A4" s="590" t="s">
        <v>17</v>
      </c>
      <c r="B4" s="591"/>
      <c r="E4" s="1"/>
      <c r="F4" s="1"/>
      <c r="G4" s="1"/>
      <c r="H4" s="1"/>
      <c r="I4" s="1"/>
    </row>
    <row r="5" spans="1:12" ht="19" thickBot="1" x14ac:dyDescent="0.5">
      <c r="A5" s="255" t="s">
        <v>40</v>
      </c>
      <c r="B5" s="287"/>
    </row>
    <row r="6" spans="1:12" ht="15" thickBot="1" x14ac:dyDescent="0.4"/>
    <row r="7" spans="1:12" ht="26.5" thickBot="1" x14ac:dyDescent="0.65">
      <c r="B7" s="592" t="s">
        <v>30</v>
      </c>
      <c r="C7" s="593"/>
      <c r="D7" s="593"/>
      <c r="E7" s="593"/>
      <c r="F7" s="593"/>
      <c r="G7" s="593"/>
      <c r="H7" s="593"/>
      <c r="I7" s="593"/>
      <c r="J7" s="593"/>
      <c r="K7" s="15"/>
      <c r="L7" s="16"/>
    </row>
    <row r="8" spans="1:12" ht="19" thickBot="1" x14ac:dyDescent="0.5">
      <c r="B8" s="341" t="s">
        <v>308</v>
      </c>
      <c r="C8" s="107" t="s">
        <v>22</v>
      </c>
      <c r="D8" s="108" t="s">
        <v>180</v>
      </c>
      <c r="E8" s="108" t="s">
        <v>25</v>
      </c>
      <c r="F8" s="108" t="s">
        <v>39</v>
      </c>
      <c r="G8" s="108" t="s">
        <v>33</v>
      </c>
      <c r="H8" s="108" t="s">
        <v>304</v>
      </c>
      <c r="I8" s="108" t="s">
        <v>305</v>
      </c>
      <c r="J8" s="109" t="s">
        <v>34</v>
      </c>
      <c r="K8" s="110" t="s">
        <v>35</v>
      </c>
      <c r="L8" s="111" t="s">
        <v>36</v>
      </c>
    </row>
    <row r="9" spans="1:12" ht="18.5" x14ac:dyDescent="0.45">
      <c r="B9" s="94" t="s">
        <v>28</v>
      </c>
      <c r="C9" s="283"/>
      <c r="D9" s="32">
        <v>1</v>
      </c>
      <c r="E9" s="346">
        <f>$C9*$D9</f>
        <v>0</v>
      </c>
      <c r="F9" s="343"/>
      <c r="G9" s="285"/>
      <c r="H9" s="449"/>
      <c r="I9" s="449"/>
      <c r="J9" s="143">
        <f>(1.4*(($F9/100)+2)+(0.37*$G9))*$C9*365</f>
        <v>0</v>
      </c>
      <c r="K9" s="144">
        <f>(((6.45*$F9+1265)+(442*(0.337+(0.116*$H9)+(0.06*$I9))*$G9))*IF(G9&gt;15,(1+(0.00165*(((0.337+(0.116*$H9)+(0.06*$I9))*$G9)-15))),1))*$C9*365</f>
        <v>0</v>
      </c>
      <c r="L9" s="146">
        <f>(($F9/10)+54+(1.396*($G9*$I9*10))+(0.000195*(($G9*$I9*10)*($G9*$I9*10))))*$C9*365</f>
        <v>0</v>
      </c>
    </row>
    <row r="10" spans="1:12" ht="18.5" x14ac:dyDescent="0.45">
      <c r="B10" s="95" t="s">
        <v>23</v>
      </c>
      <c r="C10" s="268"/>
      <c r="D10" s="33">
        <v>1</v>
      </c>
      <c r="E10" s="346">
        <f t="shared" ref="E10:E21" si="0">$C10*$D10</f>
        <v>0</v>
      </c>
      <c r="F10" s="344"/>
      <c r="G10" s="286"/>
      <c r="H10" s="449"/>
      <c r="I10" s="449"/>
      <c r="J10" s="143">
        <f>(1.4*(($F10/100)+2)+(0.37*$G10))*$C10*365</f>
        <v>0</v>
      </c>
      <c r="K10" s="144">
        <f>(((6.45*$F10+1265)+(442*(0.337+(0.116*$H10)+(0.06*$I10))*$G10))*IF(G10&gt;15,(1+(0.00165*(((0.337+(0.116*$H10)+(0.06*$I10))*$G10)-15))),1))*$C10*365</f>
        <v>0</v>
      </c>
      <c r="L10" s="146">
        <f>(($F10/10)+54+(1.396*($G10*$I10*10))+(0.000195*(($G10*$I10*10)^2)))*$C10*365</f>
        <v>0</v>
      </c>
    </row>
    <row r="11" spans="1:12" s="14" customFormat="1" ht="18.5" x14ac:dyDescent="0.45">
      <c r="B11" s="95" t="s">
        <v>37</v>
      </c>
      <c r="C11" s="268"/>
      <c r="D11" s="33">
        <v>0.85</v>
      </c>
      <c r="E11" s="346">
        <f t="shared" si="0"/>
        <v>0</v>
      </c>
      <c r="F11" s="344"/>
      <c r="G11" s="34" t="s">
        <v>29</v>
      </c>
      <c r="H11" s="35" t="s">
        <v>29</v>
      </c>
      <c r="I11" s="35" t="s">
        <v>29</v>
      </c>
      <c r="J11" s="143">
        <f>((1.4*(($F11/100)+2))-1.5)*$C11*365</f>
        <v>0</v>
      </c>
      <c r="K11" s="144">
        <f>((6.45*$F11)+1500)*$C11*365</f>
        <v>0</v>
      </c>
      <c r="L11" s="147">
        <f>(($F11/10)+177)*$C11*365</f>
        <v>0</v>
      </c>
    </row>
    <row r="12" spans="1:12" ht="18.5" x14ac:dyDescent="0.45">
      <c r="B12" s="95" t="s">
        <v>38</v>
      </c>
      <c r="C12" s="268"/>
      <c r="D12" s="36">
        <v>0.85</v>
      </c>
      <c r="E12" s="346">
        <f t="shared" si="0"/>
        <v>0</v>
      </c>
      <c r="F12" s="344"/>
      <c r="G12" s="37" t="s">
        <v>29</v>
      </c>
      <c r="H12" s="37" t="s">
        <v>29</v>
      </c>
      <c r="I12" s="37" t="s">
        <v>29</v>
      </c>
      <c r="J12" s="143">
        <f>((1.4*(($F12/100)+2))-1.5)*$C12*365</f>
        <v>0</v>
      </c>
      <c r="K12" s="144">
        <f>((6.45*$F12)+1500)*$C12*365</f>
        <v>0</v>
      </c>
      <c r="L12" s="147">
        <f>(($F12/10)+177)*$C12*365</f>
        <v>0</v>
      </c>
    </row>
    <row r="13" spans="1:12" ht="18.5" x14ac:dyDescent="0.45">
      <c r="B13" s="96" t="s">
        <v>159</v>
      </c>
      <c r="C13" s="284"/>
      <c r="D13" s="36">
        <v>0.3</v>
      </c>
      <c r="E13" s="346">
        <f t="shared" si="0"/>
        <v>0</v>
      </c>
      <c r="F13" s="345"/>
      <c r="G13" s="38"/>
      <c r="H13" s="37"/>
      <c r="I13" s="37"/>
      <c r="J13" s="143">
        <f t="shared" ref="J13:J21" si="1">(1.4*(($F$10/100)+2))*$E13*365</f>
        <v>0</v>
      </c>
      <c r="K13" s="145">
        <f t="shared" ref="K13:K21" si="2">((6.45*$F$10)+1265)*$E13*365</f>
        <v>0</v>
      </c>
      <c r="L13" s="147">
        <f t="shared" ref="L13:L21" si="3">(($F$10/10)+54)*$E13*365</f>
        <v>0</v>
      </c>
    </row>
    <row r="14" spans="1:12" ht="18.5" x14ac:dyDescent="0.45">
      <c r="B14" s="95" t="s">
        <v>307</v>
      </c>
      <c r="C14" s="268"/>
      <c r="D14" s="36">
        <v>0.6</v>
      </c>
      <c r="E14" s="346">
        <f t="shared" si="0"/>
        <v>0</v>
      </c>
      <c r="F14" s="344"/>
      <c r="G14" s="37" t="s">
        <v>29</v>
      </c>
      <c r="H14" s="37" t="s">
        <v>29</v>
      </c>
      <c r="I14" s="37" t="s">
        <v>29</v>
      </c>
      <c r="J14" s="143">
        <f t="shared" si="1"/>
        <v>0</v>
      </c>
      <c r="K14" s="145">
        <f t="shared" si="2"/>
        <v>0</v>
      </c>
      <c r="L14" s="147">
        <f t="shared" si="3"/>
        <v>0</v>
      </c>
    </row>
    <row r="15" spans="1:12" ht="18.5" x14ac:dyDescent="0.45">
      <c r="B15" s="95" t="s">
        <v>26</v>
      </c>
      <c r="C15" s="268"/>
      <c r="D15" s="36">
        <v>0.8</v>
      </c>
      <c r="E15" s="346">
        <f t="shared" si="0"/>
        <v>0</v>
      </c>
      <c r="F15" s="344"/>
      <c r="G15" s="37" t="s">
        <v>29</v>
      </c>
      <c r="H15" s="37" t="s">
        <v>29</v>
      </c>
      <c r="I15" s="37" t="s">
        <v>29</v>
      </c>
      <c r="J15" s="143">
        <f t="shared" si="1"/>
        <v>0</v>
      </c>
      <c r="K15" s="145">
        <f t="shared" si="2"/>
        <v>0</v>
      </c>
      <c r="L15" s="147">
        <f t="shared" si="3"/>
        <v>0</v>
      </c>
    </row>
    <row r="16" spans="1:12" ht="18.5" x14ac:dyDescent="0.45">
      <c r="B16" s="95" t="s">
        <v>27</v>
      </c>
      <c r="C16" s="268"/>
      <c r="D16" s="36">
        <v>1</v>
      </c>
      <c r="E16" s="346">
        <f t="shared" si="0"/>
        <v>0</v>
      </c>
      <c r="F16" s="344"/>
      <c r="G16" s="37" t="s">
        <v>29</v>
      </c>
      <c r="H16" s="37" t="s">
        <v>29</v>
      </c>
      <c r="I16" s="37" t="s">
        <v>29</v>
      </c>
      <c r="J16" s="143">
        <f t="shared" si="1"/>
        <v>0</v>
      </c>
      <c r="K16" s="145">
        <f t="shared" si="2"/>
        <v>0</v>
      </c>
      <c r="L16" s="147">
        <f t="shared" si="3"/>
        <v>0</v>
      </c>
    </row>
    <row r="17" spans="2:12" ht="18.5" x14ac:dyDescent="0.45">
      <c r="B17" s="95" t="s">
        <v>20</v>
      </c>
      <c r="C17" s="268"/>
      <c r="D17" s="36">
        <v>0.3</v>
      </c>
      <c r="E17" s="346">
        <f t="shared" si="0"/>
        <v>0</v>
      </c>
      <c r="F17" s="344"/>
      <c r="G17" s="37" t="s">
        <v>29</v>
      </c>
      <c r="H17" s="37" t="s">
        <v>29</v>
      </c>
      <c r="I17" s="37" t="s">
        <v>29</v>
      </c>
      <c r="J17" s="143">
        <f t="shared" si="1"/>
        <v>0</v>
      </c>
      <c r="K17" s="145">
        <f t="shared" si="2"/>
        <v>0</v>
      </c>
      <c r="L17" s="147">
        <f t="shared" si="3"/>
        <v>0</v>
      </c>
    </row>
    <row r="18" spans="2:12" ht="18.5" x14ac:dyDescent="0.45">
      <c r="B18" s="95" t="s">
        <v>21</v>
      </c>
      <c r="C18" s="268"/>
      <c r="D18" s="36">
        <v>0.75</v>
      </c>
      <c r="E18" s="346">
        <f t="shared" si="0"/>
        <v>0</v>
      </c>
      <c r="F18" s="344"/>
      <c r="G18" s="37" t="s">
        <v>29</v>
      </c>
      <c r="H18" s="37" t="s">
        <v>29</v>
      </c>
      <c r="I18" s="37" t="s">
        <v>29</v>
      </c>
      <c r="J18" s="143">
        <f t="shared" si="1"/>
        <v>0</v>
      </c>
      <c r="K18" s="145">
        <f t="shared" si="2"/>
        <v>0</v>
      </c>
      <c r="L18" s="147">
        <f t="shared" si="3"/>
        <v>0</v>
      </c>
    </row>
    <row r="19" spans="2:12" ht="18.5" x14ac:dyDescent="0.45">
      <c r="B19" s="95" t="s">
        <v>24</v>
      </c>
      <c r="C19" s="268"/>
      <c r="D19" s="36">
        <v>0.3</v>
      </c>
      <c r="E19" s="346">
        <f t="shared" si="0"/>
        <v>0</v>
      </c>
      <c r="F19" s="344"/>
      <c r="G19" s="37" t="s">
        <v>29</v>
      </c>
      <c r="H19" s="37" t="s">
        <v>29</v>
      </c>
      <c r="I19" s="37" t="s">
        <v>29</v>
      </c>
      <c r="J19" s="143">
        <f t="shared" si="1"/>
        <v>0</v>
      </c>
      <c r="K19" s="145">
        <f t="shared" si="2"/>
        <v>0</v>
      </c>
      <c r="L19" s="147">
        <f t="shared" si="3"/>
        <v>0</v>
      </c>
    </row>
    <row r="20" spans="2:12" ht="18.5" x14ac:dyDescent="0.45">
      <c r="B20" s="95" t="s">
        <v>31</v>
      </c>
      <c r="C20" s="268"/>
      <c r="D20" s="36">
        <v>0.6</v>
      </c>
      <c r="E20" s="346">
        <f t="shared" si="0"/>
        <v>0</v>
      </c>
      <c r="F20" s="344"/>
      <c r="G20" s="37" t="s">
        <v>29</v>
      </c>
      <c r="H20" s="37" t="s">
        <v>29</v>
      </c>
      <c r="I20" s="37" t="s">
        <v>29</v>
      </c>
      <c r="J20" s="143">
        <f t="shared" si="1"/>
        <v>0</v>
      </c>
      <c r="K20" s="145">
        <f t="shared" si="2"/>
        <v>0</v>
      </c>
      <c r="L20" s="147">
        <f t="shared" si="3"/>
        <v>0</v>
      </c>
    </row>
    <row r="21" spans="2:12" ht="19" thickBot="1" x14ac:dyDescent="0.5">
      <c r="B21" s="97" t="s">
        <v>32</v>
      </c>
      <c r="C21" s="284"/>
      <c r="D21" s="36">
        <v>0.8</v>
      </c>
      <c r="E21" s="346">
        <f t="shared" si="0"/>
        <v>0</v>
      </c>
      <c r="F21" s="345"/>
      <c r="G21" s="38" t="s">
        <v>29</v>
      </c>
      <c r="H21" s="37" t="s">
        <v>29</v>
      </c>
      <c r="I21" s="37" t="s">
        <v>29</v>
      </c>
      <c r="J21" s="143">
        <f t="shared" si="1"/>
        <v>0</v>
      </c>
      <c r="K21" s="145">
        <f t="shared" si="2"/>
        <v>0</v>
      </c>
      <c r="L21" s="147">
        <f t="shared" si="3"/>
        <v>0</v>
      </c>
    </row>
    <row r="22" spans="2:12" ht="26" x14ac:dyDescent="0.6">
      <c r="B22" s="98" t="s">
        <v>5</v>
      </c>
      <c r="C22" s="99">
        <f>SUM(C9:C21)</f>
        <v>0</v>
      </c>
      <c r="D22" s="100"/>
      <c r="E22" s="101">
        <f>SUM(E9:E21)</f>
        <v>0</v>
      </c>
      <c r="F22" s="101"/>
      <c r="G22" s="102" t="str">
        <f>IF(AND(G9="",G10=""),"",AVERAGE(G9,G10))</f>
        <v/>
      </c>
      <c r="H22" s="103" t="str">
        <f>IF(AND(H9="",H10=""),"",AVERAGE(H9:H10))</f>
        <v/>
      </c>
      <c r="I22" s="103" t="str">
        <f>IF(AND(I9="",I10=""),"",AVERAGE(I9:I10))</f>
        <v/>
      </c>
      <c r="J22" s="104">
        <f>SUM(J9:J21)</f>
        <v>0</v>
      </c>
      <c r="K22" s="105">
        <f>SUM(K9:K21)</f>
        <v>0</v>
      </c>
      <c r="L22" s="106">
        <f>SUM(L9:L21)</f>
        <v>0</v>
      </c>
    </row>
    <row r="23" spans="2:12" x14ac:dyDescent="0.35">
      <c r="B23" s="13"/>
    </row>
  </sheetData>
  <sheetProtection sheet="1" formatColumns="0" selectLockedCells="1"/>
  <mergeCells count="3">
    <mergeCell ref="C1:L1"/>
    <mergeCell ref="A4:B4"/>
    <mergeCell ref="B7:J7"/>
  </mergeCells>
  <dataValidations count="1">
    <dataValidation type="list" allowBlank="1" showInputMessage="1" showErrorMessage="1" sqref="B5" xr:uid="{00000000-0002-0000-0600-000000000000}">
      <formula1>"Holstein Pie noire, Holstein Pie rouge, Normande, Jersey, ontbéliarde, Simentale, Brune de Suisse, BBB mixte"</formula1>
    </dataValidation>
  </dataValidations>
  <pageMargins left="0.7" right="0.7" top="0.75" bottom="0.75" header="0.3" footer="0.3"/>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rgb="FFFF0000"/>
  </sheetPr>
  <dimension ref="A1:L82"/>
  <sheetViews>
    <sheetView topLeftCell="B1" zoomScale="55" zoomScaleNormal="55" workbookViewId="0">
      <selection activeCell="C7" sqref="C7"/>
    </sheetView>
  </sheetViews>
  <sheetFormatPr baseColWidth="10" defaultRowHeight="14.5" x14ac:dyDescent="0.35"/>
  <cols>
    <col min="2" max="2" width="42.7265625" customWidth="1"/>
    <col min="3" max="3" width="31.1796875" customWidth="1"/>
    <col min="4" max="5" width="33.7265625" customWidth="1"/>
    <col min="6" max="6" width="35.7265625" bestFit="1" customWidth="1"/>
    <col min="7" max="7" width="39.26953125" bestFit="1" customWidth="1"/>
    <col min="8" max="8" width="44" bestFit="1" customWidth="1"/>
    <col min="9" max="9" width="46.7265625" customWidth="1"/>
    <col min="10" max="10" width="30.26953125" customWidth="1"/>
    <col min="11" max="11" width="25.1796875" customWidth="1"/>
    <col min="12" max="12" width="27.26953125" customWidth="1"/>
  </cols>
  <sheetData>
    <row r="1" spans="2:12" ht="26.5" thickBot="1" x14ac:dyDescent="0.65">
      <c r="C1" s="562" t="s">
        <v>18</v>
      </c>
      <c r="D1" s="588"/>
      <c r="E1" s="588"/>
      <c r="F1" s="589"/>
    </row>
    <row r="2" spans="2:12" s="14" customFormat="1" ht="26" x14ac:dyDescent="0.6">
      <c r="C2" s="10"/>
      <c r="D2" s="19"/>
      <c r="E2" s="19"/>
      <c r="F2" s="19"/>
    </row>
    <row r="4" spans="2:12" ht="26.5" thickBot="1" x14ac:dyDescent="0.65">
      <c r="B4" s="20" t="s">
        <v>161</v>
      </c>
    </row>
    <row r="5" spans="2:12" ht="26.5" thickBot="1" x14ac:dyDescent="0.65">
      <c r="B5" s="592" t="s">
        <v>160</v>
      </c>
      <c r="C5" s="594"/>
      <c r="D5" s="594"/>
      <c r="E5" s="594"/>
      <c r="F5" s="594"/>
      <c r="G5" s="594"/>
      <c r="H5" s="595"/>
      <c r="I5" s="181"/>
      <c r="J5" s="18"/>
      <c r="K5" s="17"/>
      <c r="L5" s="17"/>
    </row>
    <row r="6" spans="2:12" ht="19" thickBot="1" x14ac:dyDescent="0.5">
      <c r="B6" s="342" t="s">
        <v>309</v>
      </c>
      <c r="C6" s="107" t="s">
        <v>22</v>
      </c>
      <c r="D6" s="108" t="s">
        <v>181</v>
      </c>
      <c r="E6" s="108" t="s">
        <v>25</v>
      </c>
      <c r="F6" s="108" t="s">
        <v>34</v>
      </c>
      <c r="G6" s="119" t="s">
        <v>35</v>
      </c>
      <c r="H6" s="120" t="s">
        <v>36</v>
      </c>
    </row>
    <row r="7" spans="2:12" ht="18.5" x14ac:dyDescent="0.45">
      <c r="B7" s="148" t="s">
        <v>41</v>
      </c>
      <c r="C7" s="288"/>
      <c r="D7" s="29">
        <v>0.85</v>
      </c>
      <c r="E7" s="347">
        <f>$C7*$D7</f>
        <v>0</v>
      </c>
      <c r="F7" s="143">
        <f>12*365*Tableau7[[#This Row],[Nbre d''animaux]]</f>
        <v>0</v>
      </c>
      <c r="G7" s="144">
        <f>$F$7*800</f>
        <v>0</v>
      </c>
      <c r="H7" s="146">
        <f>$F$7*AVERAGE(40,70)</f>
        <v>0</v>
      </c>
    </row>
    <row r="8" spans="2:12" ht="18.5" x14ac:dyDescent="0.45">
      <c r="B8" s="148" t="s">
        <v>42</v>
      </c>
      <c r="C8" s="288"/>
      <c r="D8" s="29">
        <v>0.4</v>
      </c>
      <c r="E8" s="347">
        <f t="shared" ref="E8:E23" si="0">$C8*$D8</f>
        <v>0</v>
      </c>
      <c r="F8" s="143">
        <f>(12*365)*$E8</f>
        <v>0</v>
      </c>
      <c r="G8" s="144">
        <f>(800*12*365)*$E8</f>
        <v>0</v>
      </c>
      <c r="H8" s="146">
        <f>(12*365*AVERAGE(40,70))*$E8</f>
        <v>0</v>
      </c>
    </row>
    <row r="9" spans="2:12" ht="18.5" x14ac:dyDescent="0.45">
      <c r="B9" s="113" t="s">
        <v>43</v>
      </c>
      <c r="C9" s="263"/>
      <c r="D9" s="30">
        <v>0.6</v>
      </c>
      <c r="E9" s="347">
        <f t="shared" si="0"/>
        <v>0</v>
      </c>
      <c r="F9" s="143">
        <f t="shared" ref="F9:F23" si="1">(12*365)*$E9</f>
        <v>0</v>
      </c>
      <c r="G9" s="144">
        <f>(800*12*365)*$E9</f>
        <v>0</v>
      </c>
      <c r="H9" s="146">
        <f t="shared" ref="H9:H23" si="2">(12*365*AVERAGE(40,70))*$E9</f>
        <v>0</v>
      </c>
    </row>
    <row r="10" spans="2:12" ht="18.5" x14ac:dyDescent="0.45">
      <c r="B10" s="113" t="s">
        <v>44</v>
      </c>
      <c r="C10" s="263"/>
      <c r="D10" s="30">
        <v>0.8</v>
      </c>
      <c r="E10" s="347">
        <f t="shared" si="0"/>
        <v>0</v>
      </c>
      <c r="F10" s="143">
        <f t="shared" si="1"/>
        <v>0</v>
      </c>
      <c r="G10" s="144">
        <f>(800*12*365)*$E10</f>
        <v>0</v>
      </c>
      <c r="H10" s="146">
        <f t="shared" si="2"/>
        <v>0</v>
      </c>
    </row>
    <row r="11" spans="2:12" s="14" customFormat="1" ht="18.5" x14ac:dyDescent="0.45">
      <c r="B11" s="113" t="s">
        <v>45</v>
      </c>
      <c r="C11" s="263"/>
      <c r="D11" s="30">
        <v>0.9</v>
      </c>
      <c r="E11" s="347">
        <f t="shared" si="0"/>
        <v>0</v>
      </c>
      <c r="F11" s="143">
        <f t="shared" si="1"/>
        <v>0</v>
      </c>
      <c r="G11" s="144">
        <f t="shared" ref="G11:G23" si="3">(800*12*365)*$E11</f>
        <v>0</v>
      </c>
      <c r="H11" s="146">
        <f t="shared" si="2"/>
        <v>0</v>
      </c>
    </row>
    <row r="12" spans="2:12" ht="18.5" x14ac:dyDescent="0.45">
      <c r="B12" s="113" t="s">
        <v>46</v>
      </c>
      <c r="C12" s="263"/>
      <c r="D12" s="30">
        <v>0.95</v>
      </c>
      <c r="E12" s="347">
        <f t="shared" si="0"/>
        <v>0</v>
      </c>
      <c r="F12" s="143">
        <f t="shared" si="1"/>
        <v>0</v>
      </c>
      <c r="G12" s="144">
        <f t="shared" si="3"/>
        <v>0</v>
      </c>
      <c r="H12" s="146">
        <f t="shared" si="2"/>
        <v>0</v>
      </c>
    </row>
    <row r="13" spans="2:12" ht="18.5" x14ac:dyDescent="0.45">
      <c r="B13" s="113" t="s">
        <v>47</v>
      </c>
      <c r="C13" s="263"/>
      <c r="D13" s="30">
        <v>0.45</v>
      </c>
      <c r="E13" s="347">
        <f t="shared" si="0"/>
        <v>0</v>
      </c>
      <c r="F13" s="143">
        <f t="shared" si="1"/>
        <v>0</v>
      </c>
      <c r="G13" s="144">
        <f t="shared" si="3"/>
        <v>0</v>
      </c>
      <c r="H13" s="146">
        <f t="shared" si="2"/>
        <v>0</v>
      </c>
    </row>
    <row r="14" spans="2:12" s="14" customFormat="1" ht="18.5" x14ac:dyDescent="0.45">
      <c r="B14" s="113" t="s">
        <v>31</v>
      </c>
      <c r="C14" s="263"/>
      <c r="D14" s="30">
        <v>0.6</v>
      </c>
      <c r="E14" s="347">
        <f t="shared" si="0"/>
        <v>0</v>
      </c>
      <c r="F14" s="143">
        <f t="shared" si="1"/>
        <v>0</v>
      </c>
      <c r="G14" s="144">
        <f t="shared" si="3"/>
        <v>0</v>
      </c>
      <c r="H14" s="146">
        <f t="shared" si="2"/>
        <v>0</v>
      </c>
    </row>
    <row r="15" spans="2:12" s="14" customFormat="1" ht="18.5" x14ac:dyDescent="0.45">
      <c r="B15" s="113" t="s">
        <v>48</v>
      </c>
      <c r="C15" s="263"/>
      <c r="D15" s="30">
        <v>0.8</v>
      </c>
      <c r="E15" s="347">
        <f t="shared" si="0"/>
        <v>0</v>
      </c>
      <c r="F15" s="143">
        <f t="shared" si="1"/>
        <v>0</v>
      </c>
      <c r="G15" s="144">
        <f t="shared" si="3"/>
        <v>0</v>
      </c>
      <c r="H15" s="146">
        <f t="shared" si="2"/>
        <v>0</v>
      </c>
    </row>
    <row r="16" spans="2:12" ht="18.5" x14ac:dyDescent="0.45">
      <c r="B16" s="113" t="s">
        <v>49</v>
      </c>
      <c r="C16" s="263"/>
      <c r="D16" s="30">
        <v>1</v>
      </c>
      <c r="E16" s="347">
        <f t="shared" si="0"/>
        <v>0</v>
      </c>
      <c r="F16" s="143">
        <f t="shared" si="1"/>
        <v>0</v>
      </c>
      <c r="G16" s="144">
        <f t="shared" si="3"/>
        <v>0</v>
      </c>
      <c r="H16" s="146">
        <f t="shared" si="2"/>
        <v>0</v>
      </c>
    </row>
    <row r="17" spans="2:9" s="14" customFormat="1" ht="18.5" x14ac:dyDescent="0.45">
      <c r="B17" s="113" t="s">
        <v>50</v>
      </c>
      <c r="C17" s="263"/>
      <c r="D17" s="30">
        <v>1</v>
      </c>
      <c r="E17" s="347">
        <f t="shared" si="0"/>
        <v>0</v>
      </c>
      <c r="F17" s="143">
        <f t="shared" si="1"/>
        <v>0</v>
      </c>
      <c r="G17" s="144">
        <f t="shared" si="3"/>
        <v>0</v>
      </c>
      <c r="H17" s="146">
        <f>(12*365*AVERAGE(40,70))*$E17</f>
        <v>0</v>
      </c>
    </row>
    <row r="18" spans="2:9" ht="14.15" customHeight="1" x14ac:dyDescent="0.45">
      <c r="B18" s="113" t="s">
        <v>51</v>
      </c>
      <c r="C18" s="263"/>
      <c r="D18" s="30">
        <v>1.2</v>
      </c>
      <c r="E18" s="347">
        <f t="shared" si="0"/>
        <v>0</v>
      </c>
      <c r="F18" s="143">
        <f t="shared" si="1"/>
        <v>0</v>
      </c>
      <c r="G18" s="144">
        <f t="shared" si="3"/>
        <v>0</v>
      </c>
      <c r="H18" s="146">
        <f t="shared" si="2"/>
        <v>0</v>
      </c>
    </row>
    <row r="19" spans="2:9" s="14" customFormat="1" ht="14.15" customHeight="1" x14ac:dyDescent="0.45">
      <c r="B19" s="113" t="s">
        <v>52</v>
      </c>
      <c r="C19" s="289"/>
      <c r="D19" s="30">
        <v>0.45</v>
      </c>
      <c r="E19" s="347">
        <f t="shared" si="0"/>
        <v>0</v>
      </c>
      <c r="F19" s="143">
        <f t="shared" si="1"/>
        <v>0</v>
      </c>
      <c r="G19" s="144">
        <f t="shared" si="3"/>
        <v>0</v>
      </c>
      <c r="H19" s="146">
        <f t="shared" si="2"/>
        <v>0</v>
      </c>
    </row>
    <row r="20" spans="2:9" s="14" customFormat="1" ht="14.15" customHeight="1" x14ac:dyDescent="0.45">
      <c r="B20" s="113" t="s">
        <v>53</v>
      </c>
      <c r="C20" s="289"/>
      <c r="D20" s="30">
        <v>0.6</v>
      </c>
      <c r="E20" s="347">
        <f t="shared" si="0"/>
        <v>0</v>
      </c>
      <c r="F20" s="143">
        <f t="shared" si="1"/>
        <v>0</v>
      </c>
      <c r="G20" s="144">
        <f t="shared" si="3"/>
        <v>0</v>
      </c>
      <c r="H20" s="146">
        <f t="shared" si="2"/>
        <v>0</v>
      </c>
    </row>
    <row r="21" spans="2:9" s="14" customFormat="1" ht="14.15" customHeight="1" x14ac:dyDescent="0.45">
      <c r="B21" s="113" t="s">
        <v>54</v>
      </c>
      <c r="C21" s="289"/>
      <c r="D21" s="30">
        <v>0.8</v>
      </c>
      <c r="E21" s="347">
        <f t="shared" si="0"/>
        <v>0</v>
      </c>
      <c r="F21" s="143">
        <f t="shared" si="1"/>
        <v>0</v>
      </c>
      <c r="G21" s="144">
        <f t="shared" si="3"/>
        <v>0</v>
      </c>
      <c r="H21" s="146">
        <f t="shared" si="2"/>
        <v>0</v>
      </c>
    </row>
    <row r="22" spans="2:9" s="14" customFormat="1" ht="14.15" customHeight="1" x14ac:dyDescent="0.45">
      <c r="B22" s="113" t="s">
        <v>55</v>
      </c>
      <c r="C22" s="289"/>
      <c r="D22" s="30">
        <v>1</v>
      </c>
      <c r="E22" s="347">
        <f t="shared" si="0"/>
        <v>0</v>
      </c>
      <c r="F22" s="143">
        <f t="shared" si="1"/>
        <v>0</v>
      </c>
      <c r="G22" s="144">
        <f t="shared" si="3"/>
        <v>0</v>
      </c>
      <c r="H22" s="146">
        <f t="shared" si="2"/>
        <v>0</v>
      </c>
    </row>
    <row r="23" spans="2:9" ht="19" thickBot="1" x14ac:dyDescent="0.5">
      <c r="B23" s="114" t="s">
        <v>56</v>
      </c>
      <c r="C23" s="289"/>
      <c r="D23" s="31">
        <v>1</v>
      </c>
      <c r="E23" s="347">
        <f t="shared" si="0"/>
        <v>0</v>
      </c>
      <c r="F23" s="143">
        <f t="shared" si="1"/>
        <v>0</v>
      </c>
      <c r="G23" s="144">
        <f t="shared" si="3"/>
        <v>0</v>
      </c>
      <c r="H23" s="146">
        <f t="shared" si="2"/>
        <v>0</v>
      </c>
    </row>
    <row r="24" spans="2:9" ht="26" x14ac:dyDescent="0.6">
      <c r="B24" s="115" t="s">
        <v>5</v>
      </c>
      <c r="C24" s="116">
        <f>SUM(C7:C23)</f>
        <v>0</v>
      </c>
      <c r="D24" s="117"/>
      <c r="E24" s="118">
        <f>SUM(E7:E23)</f>
        <v>0</v>
      </c>
      <c r="F24" s="104">
        <f>SUM(F7:F23)</f>
        <v>0</v>
      </c>
      <c r="G24" s="105">
        <f>SUM(G7:G23)</f>
        <v>0</v>
      </c>
      <c r="H24" s="106">
        <f>SUM(H7:H23)</f>
        <v>0</v>
      </c>
    </row>
    <row r="28" spans="2:9" ht="26.5" thickBot="1" x14ac:dyDescent="0.65">
      <c r="B28" s="20" t="s">
        <v>145</v>
      </c>
      <c r="C28" s="14"/>
      <c r="D28" s="14"/>
      <c r="E28" s="14"/>
      <c r="F28" s="14"/>
      <c r="G28" s="14"/>
      <c r="H28" s="14"/>
      <c r="I28" s="14"/>
    </row>
    <row r="29" spans="2:9" ht="26.5" thickBot="1" x14ac:dyDescent="0.65">
      <c r="B29" s="596"/>
      <c r="C29" s="597"/>
      <c r="D29" s="597"/>
      <c r="E29" s="597"/>
      <c r="F29" s="597"/>
      <c r="G29" s="597"/>
      <c r="H29" s="598"/>
      <c r="I29" s="181"/>
    </row>
    <row r="30" spans="2:9" ht="19" thickBot="1" x14ac:dyDescent="0.5">
      <c r="B30" s="342" t="s">
        <v>309</v>
      </c>
      <c r="C30" s="107" t="s">
        <v>22</v>
      </c>
      <c r="D30" s="108" t="s">
        <v>181</v>
      </c>
      <c r="E30" s="108" t="s">
        <v>25</v>
      </c>
      <c r="F30" s="108" t="s">
        <v>34</v>
      </c>
      <c r="G30" s="119" t="s">
        <v>35</v>
      </c>
      <c r="H30" s="120" t="s">
        <v>36</v>
      </c>
    </row>
    <row r="31" spans="2:9" ht="18.5" x14ac:dyDescent="0.45">
      <c r="B31" s="112" t="s">
        <v>142</v>
      </c>
      <c r="C31" s="288"/>
      <c r="D31" s="28">
        <v>1</v>
      </c>
      <c r="E31" s="347">
        <f>Tableau8[[#This Row],[Nbre d''animaux]]*Tableau8[[#This Row],[Valeurs UGBalimentation]]</f>
        <v>0</v>
      </c>
      <c r="F31" s="143">
        <f>13*365*Tableau8[[#This Row],[Nbre d''animaux]]</f>
        <v>0</v>
      </c>
      <c r="G31" s="144">
        <f>8200*365*$E31</f>
        <v>0</v>
      </c>
      <c r="H31" s="146">
        <f>768*365*$E31</f>
        <v>0</v>
      </c>
    </row>
    <row r="32" spans="2:9" s="14" customFormat="1" ht="18.5" x14ac:dyDescent="0.45">
      <c r="B32" s="113" t="s">
        <v>143</v>
      </c>
      <c r="C32" s="263"/>
      <c r="D32" s="30">
        <v>0.85</v>
      </c>
      <c r="E32" s="347">
        <f>Tableau8[[#This Row],[Nbre d''animaux]]*Tableau8[[#This Row],[Valeurs UGBalimentation]]</f>
        <v>0</v>
      </c>
      <c r="F32" s="149">
        <f>(16*365)*$E32</f>
        <v>0</v>
      </c>
      <c r="G32" s="144">
        <f>8200*365*$E32</f>
        <v>0</v>
      </c>
      <c r="H32" s="146">
        <f>768*365*$E32</f>
        <v>0</v>
      </c>
    </row>
    <row r="33" spans="2:8" ht="18.5" x14ac:dyDescent="0.45">
      <c r="B33" s="148" t="s">
        <v>42</v>
      </c>
      <c r="C33" s="288"/>
      <c r="D33" s="29">
        <v>0.4</v>
      </c>
      <c r="E33" s="347">
        <f>Tableau8[[#This Row],[Nbre d''animaux]]*Tableau8[[#This Row],[Valeurs UGBalimentation]]</f>
        <v>0</v>
      </c>
      <c r="F33" s="149">
        <f>(16*365)*$E33</f>
        <v>0</v>
      </c>
      <c r="G33" s="144">
        <f t="shared" ref="G33:G40" si="4">5700*365*$E33</f>
        <v>0</v>
      </c>
      <c r="H33" s="146">
        <f>420*365*$E33</f>
        <v>0</v>
      </c>
    </row>
    <row r="34" spans="2:8" ht="18.5" x14ac:dyDescent="0.45">
      <c r="B34" s="113" t="s">
        <v>43</v>
      </c>
      <c r="C34" s="263"/>
      <c r="D34" s="30">
        <v>0.6</v>
      </c>
      <c r="E34" s="347">
        <f>Tableau8[[#This Row],[Nbre d''animaux]]*Tableau8[[#This Row],[Valeurs UGBalimentation]]</f>
        <v>0</v>
      </c>
      <c r="F34" s="149">
        <f t="shared" ref="F34:F48" si="5">(16*365)*$E34</f>
        <v>0</v>
      </c>
      <c r="G34" s="144">
        <f t="shared" si="4"/>
        <v>0</v>
      </c>
      <c r="H34" s="146">
        <f t="shared" ref="H34:H48" si="6">420*365*$E34</f>
        <v>0</v>
      </c>
    </row>
    <row r="35" spans="2:8" ht="18.5" x14ac:dyDescent="0.45">
      <c r="B35" s="113" t="s">
        <v>44</v>
      </c>
      <c r="C35" s="263"/>
      <c r="D35" s="30">
        <v>0.8</v>
      </c>
      <c r="E35" s="347">
        <f>Tableau8[[#This Row],[Nbre d''animaux]]*Tableau8[[#This Row],[Valeurs UGBalimentation]]</f>
        <v>0</v>
      </c>
      <c r="F35" s="149">
        <f t="shared" si="5"/>
        <v>0</v>
      </c>
      <c r="G35" s="144">
        <f t="shared" si="4"/>
        <v>0</v>
      </c>
      <c r="H35" s="146">
        <f t="shared" si="6"/>
        <v>0</v>
      </c>
    </row>
    <row r="36" spans="2:8" ht="18.5" x14ac:dyDescent="0.45">
      <c r="B36" s="113" t="s">
        <v>45</v>
      </c>
      <c r="C36" s="263"/>
      <c r="D36" s="30">
        <v>0.9</v>
      </c>
      <c r="E36" s="347">
        <f>Tableau8[[#This Row],[Nbre d''animaux]]*Tableau8[[#This Row],[Valeurs UGBalimentation]]</f>
        <v>0</v>
      </c>
      <c r="F36" s="149">
        <f t="shared" si="5"/>
        <v>0</v>
      </c>
      <c r="G36" s="144">
        <f t="shared" si="4"/>
        <v>0</v>
      </c>
      <c r="H36" s="146">
        <f t="shared" si="6"/>
        <v>0</v>
      </c>
    </row>
    <row r="37" spans="2:8" ht="18.5" x14ac:dyDescent="0.45">
      <c r="B37" s="113" t="s">
        <v>46</v>
      </c>
      <c r="C37" s="263"/>
      <c r="D37" s="30">
        <v>0.95</v>
      </c>
      <c r="E37" s="347">
        <f>Tableau8[[#This Row],[Nbre d''animaux]]*Tableau8[[#This Row],[Valeurs UGBalimentation]]</f>
        <v>0</v>
      </c>
      <c r="F37" s="149">
        <f t="shared" si="5"/>
        <v>0</v>
      </c>
      <c r="G37" s="144">
        <f t="shared" si="4"/>
        <v>0</v>
      </c>
      <c r="H37" s="146">
        <f t="shared" si="6"/>
        <v>0</v>
      </c>
    </row>
    <row r="38" spans="2:8" ht="18.5" x14ac:dyDescent="0.45">
      <c r="B38" s="113" t="s">
        <v>47</v>
      </c>
      <c r="C38" s="263"/>
      <c r="D38" s="30">
        <v>0.45</v>
      </c>
      <c r="E38" s="347">
        <f>Tableau8[[#This Row],[Nbre d''animaux]]*Tableau8[[#This Row],[Valeurs UGBalimentation]]</f>
        <v>0</v>
      </c>
      <c r="F38" s="149">
        <f t="shared" si="5"/>
        <v>0</v>
      </c>
      <c r="G38" s="144">
        <f t="shared" si="4"/>
        <v>0</v>
      </c>
      <c r="H38" s="146">
        <f t="shared" si="6"/>
        <v>0</v>
      </c>
    </row>
    <row r="39" spans="2:8" ht="18.5" x14ac:dyDescent="0.45">
      <c r="B39" s="113" t="s">
        <v>31</v>
      </c>
      <c r="C39" s="263"/>
      <c r="D39" s="30">
        <v>0.6</v>
      </c>
      <c r="E39" s="347">
        <f>Tableau8[[#This Row],[Nbre d''animaux]]*Tableau8[[#This Row],[Valeurs UGBalimentation]]</f>
        <v>0</v>
      </c>
      <c r="F39" s="149">
        <f t="shared" si="5"/>
        <v>0</v>
      </c>
      <c r="G39" s="144">
        <f t="shared" si="4"/>
        <v>0</v>
      </c>
      <c r="H39" s="146">
        <f t="shared" si="6"/>
        <v>0</v>
      </c>
    </row>
    <row r="40" spans="2:8" ht="18.5" x14ac:dyDescent="0.45">
      <c r="B40" s="113" t="s">
        <v>48</v>
      </c>
      <c r="C40" s="263"/>
      <c r="D40" s="30">
        <v>0.8</v>
      </c>
      <c r="E40" s="347">
        <f>Tableau8[[#This Row],[Nbre d''animaux]]*Tableau8[[#This Row],[Valeurs UGBalimentation]]</f>
        <v>0</v>
      </c>
      <c r="F40" s="149">
        <f t="shared" si="5"/>
        <v>0</v>
      </c>
      <c r="G40" s="144">
        <f t="shared" si="4"/>
        <v>0</v>
      </c>
      <c r="H40" s="146">
        <f t="shared" si="6"/>
        <v>0</v>
      </c>
    </row>
    <row r="41" spans="2:8" ht="18.5" x14ac:dyDescent="0.45">
      <c r="B41" s="113" t="s">
        <v>49</v>
      </c>
      <c r="C41" s="263"/>
      <c r="D41" s="30">
        <v>1</v>
      </c>
      <c r="E41" s="347">
        <f>Tableau8[[#This Row],[Nbre d''animaux]]*Tableau8[[#This Row],[Valeurs UGBalimentation]]</f>
        <v>0</v>
      </c>
      <c r="F41" s="149">
        <f t="shared" si="5"/>
        <v>0</v>
      </c>
      <c r="G41" s="144">
        <f t="shared" ref="G41:G48" si="7">5700*365*$E41</f>
        <v>0</v>
      </c>
      <c r="H41" s="146">
        <f t="shared" si="6"/>
        <v>0</v>
      </c>
    </row>
    <row r="42" spans="2:8" ht="18.5" x14ac:dyDescent="0.45">
      <c r="B42" s="113" t="s">
        <v>50</v>
      </c>
      <c r="C42" s="263"/>
      <c r="D42" s="30">
        <v>1</v>
      </c>
      <c r="E42" s="347">
        <f>Tableau8[[#This Row],[Nbre d''animaux]]*Tableau8[[#This Row],[Valeurs UGBalimentation]]</f>
        <v>0</v>
      </c>
      <c r="F42" s="149">
        <f t="shared" si="5"/>
        <v>0</v>
      </c>
      <c r="G42" s="144">
        <f t="shared" si="7"/>
        <v>0</v>
      </c>
      <c r="H42" s="146">
        <f t="shared" si="6"/>
        <v>0</v>
      </c>
    </row>
    <row r="43" spans="2:8" ht="18.5" x14ac:dyDescent="0.45">
      <c r="B43" s="113" t="s">
        <v>51</v>
      </c>
      <c r="C43" s="263"/>
      <c r="D43" s="30">
        <v>1.2</v>
      </c>
      <c r="E43" s="347">
        <f>Tableau8[[#This Row],[Nbre d''animaux]]*Tableau8[[#This Row],[Valeurs UGBalimentation]]</f>
        <v>0</v>
      </c>
      <c r="F43" s="149">
        <f t="shared" si="5"/>
        <v>0</v>
      </c>
      <c r="G43" s="144">
        <f t="shared" si="7"/>
        <v>0</v>
      </c>
      <c r="H43" s="146">
        <f t="shared" si="6"/>
        <v>0</v>
      </c>
    </row>
    <row r="44" spans="2:8" ht="18.5" x14ac:dyDescent="0.45">
      <c r="B44" s="113" t="s">
        <v>52</v>
      </c>
      <c r="C44" s="289"/>
      <c r="D44" s="30">
        <v>0.45</v>
      </c>
      <c r="E44" s="347">
        <f>Tableau8[[#This Row],[Nbre d''animaux]]*Tableau8[[#This Row],[Valeurs UGBalimentation]]</f>
        <v>0</v>
      </c>
      <c r="F44" s="149">
        <f t="shared" si="5"/>
        <v>0</v>
      </c>
      <c r="G44" s="144">
        <f t="shared" si="7"/>
        <v>0</v>
      </c>
      <c r="H44" s="146">
        <f t="shared" si="6"/>
        <v>0</v>
      </c>
    </row>
    <row r="45" spans="2:8" ht="18.5" x14ac:dyDescent="0.45">
      <c r="B45" s="113" t="s">
        <v>53</v>
      </c>
      <c r="C45" s="289"/>
      <c r="D45" s="30">
        <v>0.6</v>
      </c>
      <c r="E45" s="347">
        <f>Tableau8[[#This Row],[Nbre d''animaux]]*Tableau8[[#This Row],[Valeurs UGBalimentation]]</f>
        <v>0</v>
      </c>
      <c r="F45" s="149">
        <f t="shared" si="5"/>
        <v>0</v>
      </c>
      <c r="G45" s="144">
        <f t="shared" si="7"/>
        <v>0</v>
      </c>
      <c r="H45" s="146">
        <f t="shared" si="6"/>
        <v>0</v>
      </c>
    </row>
    <row r="46" spans="2:8" ht="18.5" x14ac:dyDescent="0.45">
      <c r="B46" s="113" t="s">
        <v>54</v>
      </c>
      <c r="C46" s="289"/>
      <c r="D46" s="30">
        <v>0.8</v>
      </c>
      <c r="E46" s="347">
        <f>Tableau8[[#This Row],[Nbre d''animaux]]*Tableau8[[#This Row],[Valeurs UGBalimentation]]</f>
        <v>0</v>
      </c>
      <c r="F46" s="149">
        <f t="shared" si="5"/>
        <v>0</v>
      </c>
      <c r="G46" s="144">
        <f t="shared" si="7"/>
        <v>0</v>
      </c>
      <c r="H46" s="146">
        <f t="shared" si="6"/>
        <v>0</v>
      </c>
    </row>
    <row r="47" spans="2:8" ht="18.5" x14ac:dyDescent="0.45">
      <c r="B47" s="113" t="s">
        <v>55</v>
      </c>
      <c r="C47" s="289"/>
      <c r="D47" s="30">
        <v>1</v>
      </c>
      <c r="E47" s="347">
        <f>Tableau8[[#This Row],[Nbre d''animaux]]*Tableau8[[#This Row],[Valeurs UGBalimentation]]</f>
        <v>0</v>
      </c>
      <c r="F47" s="149">
        <f t="shared" si="5"/>
        <v>0</v>
      </c>
      <c r="G47" s="144">
        <f t="shared" si="7"/>
        <v>0</v>
      </c>
      <c r="H47" s="146">
        <f t="shared" si="6"/>
        <v>0</v>
      </c>
    </row>
    <row r="48" spans="2:8" ht="19" thickBot="1" x14ac:dyDescent="0.5">
      <c r="B48" s="114" t="s">
        <v>56</v>
      </c>
      <c r="C48" s="289"/>
      <c r="D48" s="31">
        <v>1</v>
      </c>
      <c r="E48" s="347">
        <f>Tableau8[[#This Row],[Nbre d''animaux]]*Tableau8[[#This Row],[Valeurs UGBalimentation]]</f>
        <v>0</v>
      </c>
      <c r="F48" s="149">
        <f t="shared" si="5"/>
        <v>0</v>
      </c>
      <c r="G48" s="144">
        <f t="shared" si="7"/>
        <v>0</v>
      </c>
      <c r="H48" s="146">
        <f t="shared" si="6"/>
        <v>0</v>
      </c>
    </row>
    <row r="49" spans="1:8" ht="26" x14ac:dyDescent="0.6">
      <c r="B49" s="115" t="s">
        <v>5</v>
      </c>
      <c r="C49" s="116">
        <f>SUM(C31:C48)</f>
        <v>0</v>
      </c>
      <c r="D49" s="117"/>
      <c r="E49" s="118">
        <f>SUM(E31:E48)</f>
        <v>0</v>
      </c>
      <c r="F49" s="104">
        <f>SUM(F31:F48)</f>
        <v>0</v>
      </c>
      <c r="G49" s="105">
        <f>SUM(G31:G48)</f>
        <v>0</v>
      </c>
      <c r="H49" s="106">
        <f>SUM(H31:H48)</f>
        <v>0</v>
      </c>
    </row>
    <row r="57" spans="1:8" s="150" customFormat="1" x14ac:dyDescent="0.35"/>
    <row r="58" spans="1:8" s="150" customFormat="1" x14ac:dyDescent="0.35">
      <c r="A58"/>
    </row>
    <row r="59" spans="1:8" s="150" customFormat="1" x14ac:dyDescent="0.35">
      <c r="A59"/>
    </row>
    <row r="82" s="150" customFormat="1" x14ac:dyDescent="0.35"/>
  </sheetData>
  <sheetProtection sheet="1" formatColumns="0" selectLockedCells="1"/>
  <mergeCells count="3">
    <mergeCell ref="C1:F1"/>
    <mergeCell ref="B5:H5"/>
    <mergeCell ref="B29:H29"/>
  </mergeCells>
  <dataValidations disablePrompts="1" count="1">
    <dataValidation type="list" allowBlank="1" showInputMessage="1" showErrorMessage="1" sqref="B29:H29" xr:uid="{00000000-0002-0000-0700-000000000000}">
      <formula1>"Limousine,Charolaise,Blonde d'Aquitaine,Salers,Aubrac"</formula1>
    </dataValidation>
  </dataValidations>
  <pageMargins left="0.7" right="0.7" top="0.75" bottom="0.75" header="0.3" footer="0.3"/>
  <pageSetup paperSize="9" orientation="portrait"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Accueil</vt:lpstr>
      <vt:lpstr>Introduction</vt:lpstr>
      <vt:lpstr>Assolement </vt:lpstr>
      <vt:lpstr>Récolte</vt:lpstr>
      <vt:lpstr>Pâturage</vt:lpstr>
      <vt:lpstr>Stock</vt:lpstr>
      <vt:lpstr>Production fourragère</vt:lpstr>
      <vt:lpstr>troupeaux laitier </vt:lpstr>
      <vt:lpstr>Troupeau viandeux</vt:lpstr>
      <vt:lpstr>taux de chargement</vt:lpstr>
      <vt:lpstr>Inventaire achast</vt:lpstr>
      <vt:lpstr>Récapitulatif achats</vt:lpstr>
      <vt:lpstr>Coûts de production</vt:lpstr>
      <vt:lpstr>Marge brute</vt:lpstr>
      <vt:lpstr>Résultats</vt:lpstr>
      <vt:lpstr>Annexe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Sacha</dc:creator>
  <cp:lastModifiedBy>Sacha</cp:lastModifiedBy>
  <cp:lastPrinted>2018-03-21T08:27:02Z</cp:lastPrinted>
  <dcterms:created xsi:type="dcterms:W3CDTF">2018-03-20T10:46:47Z</dcterms:created>
  <dcterms:modified xsi:type="dcterms:W3CDTF">2018-09-17T10:07:10Z</dcterms:modified>
</cp:coreProperties>
</file>