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comments6.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comments7.xml" ContentType="application/vnd.openxmlformats-officedocument.spreadsheetml.comment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omments8.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9.xml" ContentType="application/vnd.openxmlformats-officedocument.spreadsheetml.comments+xml"/>
  <Override PartName="/xl/tables/table16.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FUGEA\EquipeFugea - Pôle Environnment\Indicateur autonomie\Final\"/>
    </mc:Choice>
  </mc:AlternateContent>
  <bookViews>
    <workbookView xWindow="0" yWindow="0" windowWidth="19200" windowHeight="8616" tabRatio="672"/>
  </bookViews>
  <sheets>
    <sheet name="Accueil" sheetId="19" r:id="rId1"/>
    <sheet name="Fonctionnement" sheetId="21" r:id="rId2"/>
    <sheet name="Introduction" sheetId="10" r:id="rId3"/>
    <sheet name="① Assolement " sheetId="1" r:id="rId4"/>
    <sheet name="② Récolte" sheetId="2" r:id="rId5"/>
    <sheet name="③ Pâturage" sheetId="11" r:id="rId6"/>
    <sheet name="④ Stock" sheetId="15" r:id="rId7"/>
    <sheet name="⑤ Production fourragère" sheetId="12" r:id="rId8"/>
    <sheet name="⑥ Troupeau laitier " sheetId="3" r:id="rId9"/>
    <sheet name="⑦ Troupeau viandeux" sheetId="4" r:id="rId10"/>
    <sheet name="⑧ Taux de chargement" sheetId="18" r:id="rId11"/>
    <sheet name="⑨ Coûts de production" sheetId="6" r:id="rId12"/>
    <sheet name="⑩ Achats" sheetId="14" r:id="rId13"/>
    <sheet name="⑪ Efficience économique" sheetId="7" r:id="rId14"/>
    <sheet name="⑫ Niveau d'autonomie" sheetId="8" r:id="rId15"/>
    <sheet name="Annexe 1" sheetId="1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4" l="1"/>
  <c r="G33" i="14"/>
  <c r="G26" i="14"/>
  <c r="G27" i="14"/>
  <c r="G28" i="14"/>
  <c r="G29" i="14"/>
  <c r="G25" i="14"/>
  <c r="G19" i="14"/>
  <c r="G20" i="14"/>
  <c r="G21" i="14"/>
  <c r="G18" i="14"/>
  <c r="G13" i="14"/>
  <c r="G14" i="14"/>
  <c r="G12" i="14"/>
  <c r="G6" i="14"/>
  <c r="G7" i="14"/>
  <c r="G8" i="14"/>
  <c r="G5" i="15" l="1"/>
  <c r="G8" i="15"/>
  <c r="G9" i="15"/>
  <c r="G10" i="15"/>
  <c r="G4" i="15"/>
  <c r="L5" i="2"/>
  <c r="L6" i="2"/>
  <c r="L7" i="2"/>
  <c r="L8" i="2"/>
  <c r="L9" i="2"/>
  <c r="L10" i="2"/>
  <c r="L12"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4" i="2"/>
  <c r="J6" i="2" l="1"/>
  <c r="J7" i="2"/>
  <c r="J8" i="2"/>
  <c r="J9" i="2"/>
  <c r="J10" i="2"/>
  <c r="J12"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5" i="11" l="1"/>
  <c r="C3" i="7" l="1"/>
  <c r="C16" i="7"/>
  <c r="D16" i="6"/>
  <c r="C5" i="18" l="1"/>
  <c r="B16" i="2"/>
  <c r="B24" i="2"/>
  <c r="B22" i="2"/>
  <c r="B20" i="2"/>
  <c r="B18" i="2"/>
  <c r="B14" i="2"/>
  <c r="D31" i="11" l="1"/>
  <c r="N4" i="11" l="1"/>
  <c r="D104" i="2"/>
  <c r="D24" i="2"/>
  <c r="D22" i="2"/>
  <c r="D20" i="2"/>
  <c r="D18" i="2"/>
  <c r="D16" i="2"/>
  <c r="D14" i="2"/>
  <c r="D30" i="2"/>
  <c r="D100" i="2" l="1"/>
  <c r="D101" i="2" s="1"/>
  <c r="D102" i="2" s="1"/>
  <c r="D103" i="2" s="1"/>
  <c r="D95" i="2"/>
  <c r="D96" i="2" s="1"/>
  <c r="D97" i="2" s="1"/>
  <c r="D98" i="2" s="1"/>
  <c r="D90" i="2"/>
  <c r="D91" i="2" s="1"/>
  <c r="D92" i="2" s="1"/>
  <c r="D93" i="2" s="1"/>
  <c r="D85" i="2"/>
  <c r="D86" i="2" s="1"/>
  <c r="D87" i="2" s="1"/>
  <c r="D88" i="2" s="1"/>
  <c r="D80" i="2"/>
  <c r="D81" i="2" s="1"/>
  <c r="D82" i="2" s="1"/>
  <c r="D83" i="2" s="1"/>
  <c r="D75" i="2"/>
  <c r="D76" i="2" s="1"/>
  <c r="D77" i="2" s="1"/>
  <c r="D78" i="2" s="1"/>
  <c r="D70" i="2"/>
  <c r="D71" i="2" s="1"/>
  <c r="D72" i="2" s="1"/>
  <c r="D73" i="2" s="1"/>
  <c r="D65" i="2"/>
  <c r="D66" i="2" s="1"/>
  <c r="D67" i="2" s="1"/>
  <c r="D68" i="2" s="1"/>
  <c r="D60" i="2"/>
  <c r="D61" i="2" s="1"/>
  <c r="D62" i="2" s="1"/>
  <c r="D63" i="2" s="1"/>
  <c r="D55" i="2"/>
  <c r="D56" i="2" s="1"/>
  <c r="D57" i="2" s="1"/>
  <c r="D58" i="2" s="1"/>
  <c r="D50" i="2"/>
  <c r="D51" i="2" s="1"/>
  <c r="D52" i="2" s="1"/>
  <c r="D53" i="2" s="1"/>
  <c r="D45" i="2"/>
  <c r="D46" i="2" s="1"/>
  <c r="D47" i="2" s="1"/>
  <c r="D48" i="2" s="1"/>
  <c r="D40" i="2"/>
  <c r="D41" i="2" s="1"/>
  <c r="D42" i="2" s="1"/>
  <c r="D43" i="2" s="1"/>
  <c r="D35" i="2"/>
  <c r="D36" i="2" s="1"/>
  <c r="D37" i="2" s="1"/>
  <c r="D38" i="2" s="1"/>
  <c r="D5" i="6" l="1"/>
  <c r="F4" i="2"/>
  <c r="L7" i="3"/>
  <c r="L6" i="3"/>
  <c r="L5" i="3"/>
  <c r="L4" i="3"/>
  <c r="K7" i="3"/>
  <c r="K6" i="3"/>
  <c r="K5" i="3"/>
  <c r="K4" i="3"/>
  <c r="J6" i="3"/>
  <c r="J7" i="3"/>
  <c r="J5" i="3"/>
  <c r="J4" i="3"/>
  <c r="F5" i="4"/>
  <c r="G5" i="4" s="1"/>
  <c r="H5" i="4" l="1"/>
  <c r="D20" i="6"/>
  <c r="D19" i="6"/>
  <c r="D18" i="6"/>
  <c r="D13" i="6"/>
  <c r="C21" i="6"/>
  <c r="C11" i="7" s="1"/>
  <c r="D17" i="6"/>
  <c r="D6" i="6"/>
  <c r="D15" i="6"/>
  <c r="D14" i="6"/>
  <c r="D11" i="6"/>
  <c r="F24" i="2" l="1"/>
  <c r="H24" i="2" s="1"/>
  <c r="F23" i="2"/>
  <c r="E16" i="6" s="1"/>
  <c r="F22" i="2"/>
  <c r="H22" i="2" s="1"/>
  <c r="F21" i="2"/>
  <c r="F20" i="2"/>
  <c r="H20" i="2" s="1"/>
  <c r="F19" i="2"/>
  <c r="F18" i="2"/>
  <c r="H18" i="2" s="1"/>
  <c r="F17" i="2"/>
  <c r="E13" i="6" s="1"/>
  <c r="F13" i="2"/>
  <c r="F14" i="2"/>
  <c r="H14" i="2" s="1"/>
  <c r="F8" i="2"/>
  <c r="H8" i="2" s="1"/>
  <c r="F9" i="2"/>
  <c r="H9" i="2" s="1"/>
  <c r="F10" i="2"/>
  <c r="H10" i="2" s="1"/>
  <c r="F11" i="2"/>
  <c r="H11" i="2" s="1"/>
  <c r="F12" i="2"/>
  <c r="H12" i="2" s="1"/>
  <c r="F25" i="2"/>
  <c r="E17" i="6" s="1"/>
  <c r="F26" i="2"/>
  <c r="F27" i="2"/>
  <c r="F28" i="2"/>
  <c r="F29" i="2"/>
  <c r="F30" i="2"/>
  <c r="H30" i="2" s="1"/>
  <c r="F31" i="2"/>
  <c r="H31" i="2" s="1"/>
  <c r="F32" i="2"/>
  <c r="H32" i="2" s="1"/>
  <c r="F33" i="2"/>
  <c r="H33" i="2" s="1"/>
  <c r="F34" i="2"/>
  <c r="H34" i="2" s="1"/>
  <c r="F35" i="2"/>
  <c r="H35" i="2" s="1"/>
  <c r="F36" i="2"/>
  <c r="H36" i="2" s="1"/>
  <c r="F37" i="2"/>
  <c r="H37" i="2" s="1"/>
  <c r="F38" i="2"/>
  <c r="H38" i="2" s="1"/>
  <c r="F39" i="2"/>
  <c r="H39" i="2" s="1"/>
  <c r="F40" i="2"/>
  <c r="H40" i="2" s="1"/>
  <c r="F41" i="2"/>
  <c r="H41" i="2" s="1"/>
  <c r="F42" i="2"/>
  <c r="H42" i="2" s="1"/>
  <c r="F43" i="2"/>
  <c r="H43" i="2" s="1"/>
  <c r="F44" i="2"/>
  <c r="H44" i="2" s="1"/>
  <c r="F45" i="2"/>
  <c r="H45" i="2" s="1"/>
  <c r="F46" i="2"/>
  <c r="H46" i="2" s="1"/>
  <c r="F47" i="2"/>
  <c r="H47" i="2" s="1"/>
  <c r="F48" i="2"/>
  <c r="H48" i="2" s="1"/>
  <c r="F49" i="2"/>
  <c r="H49" i="2" s="1"/>
  <c r="F50" i="2"/>
  <c r="H50" i="2" s="1"/>
  <c r="F51" i="2"/>
  <c r="H51" i="2" s="1"/>
  <c r="F52" i="2"/>
  <c r="H52" i="2" s="1"/>
  <c r="F53" i="2"/>
  <c r="H53" i="2" s="1"/>
  <c r="F54" i="2"/>
  <c r="H54" i="2" s="1"/>
  <c r="F55" i="2"/>
  <c r="H55" i="2" s="1"/>
  <c r="F56" i="2"/>
  <c r="H56" i="2" s="1"/>
  <c r="F57" i="2"/>
  <c r="H57" i="2" s="1"/>
  <c r="F58" i="2"/>
  <c r="H58" i="2" s="1"/>
  <c r="F59" i="2"/>
  <c r="H59" i="2" s="1"/>
  <c r="F60" i="2"/>
  <c r="H60" i="2" s="1"/>
  <c r="F61" i="2"/>
  <c r="H61" i="2" s="1"/>
  <c r="F62" i="2"/>
  <c r="H62" i="2" s="1"/>
  <c r="F63" i="2"/>
  <c r="H63" i="2" s="1"/>
  <c r="F64" i="2"/>
  <c r="H64" i="2" s="1"/>
  <c r="F65" i="2"/>
  <c r="H65" i="2" s="1"/>
  <c r="F66" i="2"/>
  <c r="H66" i="2" s="1"/>
  <c r="F67" i="2"/>
  <c r="H67" i="2" s="1"/>
  <c r="F68" i="2"/>
  <c r="H68" i="2" s="1"/>
  <c r="F69" i="2"/>
  <c r="H69" i="2" s="1"/>
  <c r="F70" i="2"/>
  <c r="H70" i="2" s="1"/>
  <c r="F71" i="2"/>
  <c r="H71" i="2" s="1"/>
  <c r="F72" i="2"/>
  <c r="H72" i="2" s="1"/>
  <c r="F73" i="2"/>
  <c r="H73" i="2" s="1"/>
  <c r="F74" i="2"/>
  <c r="H74" i="2" s="1"/>
  <c r="F75" i="2"/>
  <c r="H75" i="2" s="1"/>
  <c r="F76" i="2"/>
  <c r="H76" i="2" s="1"/>
  <c r="F77" i="2"/>
  <c r="H77" i="2" s="1"/>
  <c r="F78" i="2"/>
  <c r="H78" i="2" s="1"/>
  <c r="F79" i="2"/>
  <c r="H79" i="2" s="1"/>
  <c r="F80" i="2"/>
  <c r="H80" i="2" s="1"/>
  <c r="F81" i="2"/>
  <c r="H81" i="2" s="1"/>
  <c r="F82" i="2"/>
  <c r="H82" i="2" s="1"/>
  <c r="F83" i="2"/>
  <c r="H83" i="2" s="1"/>
  <c r="F84" i="2"/>
  <c r="H84" i="2" s="1"/>
  <c r="F85" i="2"/>
  <c r="H85" i="2" s="1"/>
  <c r="F86" i="2"/>
  <c r="H86" i="2" s="1"/>
  <c r="F87" i="2"/>
  <c r="H87" i="2" s="1"/>
  <c r="F88" i="2"/>
  <c r="H88" i="2" s="1"/>
  <c r="F89" i="2"/>
  <c r="H89" i="2" s="1"/>
  <c r="F90" i="2"/>
  <c r="H90" i="2" s="1"/>
  <c r="F91" i="2"/>
  <c r="H91" i="2" s="1"/>
  <c r="F92" i="2"/>
  <c r="H92" i="2" s="1"/>
  <c r="F93" i="2"/>
  <c r="H93" i="2" s="1"/>
  <c r="F94" i="2"/>
  <c r="H94" i="2" s="1"/>
  <c r="F95" i="2"/>
  <c r="H95" i="2" s="1"/>
  <c r="F96" i="2"/>
  <c r="H96" i="2" s="1"/>
  <c r="F97" i="2"/>
  <c r="H97" i="2" s="1"/>
  <c r="F98" i="2"/>
  <c r="H98" i="2" s="1"/>
  <c r="F99" i="2"/>
  <c r="H99" i="2" s="1"/>
  <c r="F100" i="2"/>
  <c r="H100" i="2" s="1"/>
  <c r="F101" i="2"/>
  <c r="H101" i="2" s="1"/>
  <c r="F102" i="2"/>
  <c r="H102" i="2" s="1"/>
  <c r="F103" i="2"/>
  <c r="H103" i="2" s="1"/>
  <c r="L11" i="2" l="1"/>
  <c r="J11" i="2"/>
  <c r="L14" i="2"/>
  <c r="J14" i="2"/>
  <c r="H26" i="2"/>
  <c r="E18" i="6"/>
  <c r="H27" i="2"/>
  <c r="E19" i="6"/>
  <c r="H28" i="2"/>
  <c r="E20" i="6"/>
  <c r="H17" i="2"/>
  <c r="H13" i="2"/>
  <c r="E11" i="6"/>
  <c r="H21" i="2"/>
  <c r="E15" i="6"/>
  <c r="H29" i="2"/>
  <c r="E4" i="6"/>
  <c r="H25" i="2"/>
  <c r="H19" i="2"/>
  <c r="E14" i="6"/>
  <c r="H23" i="2"/>
  <c r="K18" i="14"/>
  <c r="K25" i="14"/>
  <c r="K34" i="14"/>
  <c r="K35" i="14"/>
  <c r="K33" i="14"/>
  <c r="K26" i="14"/>
  <c r="K27" i="14"/>
  <c r="K28" i="14"/>
  <c r="K29" i="14"/>
  <c r="K21" i="14"/>
  <c r="K20" i="14"/>
  <c r="K19" i="14"/>
  <c r="K13" i="14"/>
  <c r="K14" i="14"/>
  <c r="K12" i="14"/>
  <c r="K5" i="14"/>
  <c r="K6" i="14"/>
  <c r="K7" i="14"/>
  <c r="K8" i="14"/>
  <c r="L13" i="2" l="1"/>
  <c r="J13" i="2"/>
  <c r="F16" i="6"/>
  <c r="F15" i="6"/>
  <c r="F14" i="6"/>
  <c r="F13" i="6"/>
  <c r="F20" i="6"/>
  <c r="F18" i="6"/>
  <c r="F19" i="6"/>
  <c r="K15" i="14"/>
  <c r="G41" i="14" s="1"/>
  <c r="K9" i="14"/>
  <c r="G40" i="14" s="1"/>
  <c r="K36" i="14"/>
  <c r="G44" i="14" s="1"/>
  <c r="E34" i="14"/>
  <c r="G34" i="14" s="1"/>
  <c r="E35" i="14"/>
  <c r="E33" i="14"/>
  <c r="E26" i="14"/>
  <c r="E27" i="14"/>
  <c r="E28" i="14"/>
  <c r="E29" i="14"/>
  <c r="E25" i="14"/>
  <c r="E19" i="14"/>
  <c r="E20" i="14"/>
  <c r="E21" i="14"/>
  <c r="E18" i="14"/>
  <c r="E13" i="14"/>
  <c r="E14" i="14"/>
  <c r="E12" i="14"/>
  <c r="E6" i="14"/>
  <c r="E7" i="14"/>
  <c r="E8" i="14"/>
  <c r="E5" i="14"/>
  <c r="G5" i="14" s="1"/>
  <c r="I20" i="14" l="1"/>
  <c r="I34" i="14"/>
  <c r="I21" i="14"/>
  <c r="I25" i="14"/>
  <c r="I19" i="14"/>
  <c r="I12" i="14"/>
  <c r="I29" i="14"/>
  <c r="I28" i="14"/>
  <c r="I27" i="14"/>
  <c r="I13" i="14"/>
  <c r="I18" i="14"/>
  <c r="I26" i="14"/>
  <c r="I33" i="14"/>
  <c r="I35" i="14"/>
  <c r="I14" i="14"/>
  <c r="I15" i="14" s="1"/>
  <c r="F41" i="14" s="1"/>
  <c r="I6" i="14"/>
  <c r="I7" i="14"/>
  <c r="I5" i="14"/>
  <c r="I8" i="14"/>
  <c r="E9" i="14"/>
  <c r="D40" i="14" s="1"/>
  <c r="I17" i="3"/>
  <c r="H17" i="3"/>
  <c r="G17" i="3"/>
  <c r="G15" i="14" l="1"/>
  <c r="E41" i="14" s="1"/>
  <c r="I30" i="14"/>
  <c r="F43" i="14" s="1"/>
  <c r="G22" i="14"/>
  <c r="E42" i="14" s="1"/>
  <c r="G30" i="14"/>
  <c r="E43" i="14" s="1"/>
  <c r="I22" i="14"/>
  <c r="F42" i="14" s="1"/>
  <c r="G36" i="14"/>
  <c r="E44" i="14" s="1"/>
  <c r="I36" i="14"/>
  <c r="F44" i="14" s="1"/>
  <c r="G9" i="14"/>
  <c r="E40" i="14" s="1"/>
  <c r="I9" i="14"/>
  <c r="F40" i="14" s="1"/>
  <c r="C30" i="14"/>
  <c r="C43" i="14" s="1"/>
  <c r="F45" i="14" l="1"/>
  <c r="G50" i="14" s="1"/>
  <c r="E45" i="14"/>
  <c r="G49" i="14" s="1"/>
  <c r="K22" i="14"/>
  <c r="G42" i="14" s="1"/>
  <c r="D10" i="6" l="1"/>
  <c r="D9" i="6"/>
  <c r="D8" i="6"/>
  <c r="D7" i="6"/>
  <c r="D4" i="6"/>
  <c r="C10" i="18"/>
  <c r="E10" i="18" s="1"/>
  <c r="C9" i="18"/>
  <c r="E9" i="18" s="1"/>
  <c r="C8" i="18"/>
  <c r="E8" i="18" s="1"/>
  <c r="C7" i="18"/>
  <c r="E7" i="18" s="1"/>
  <c r="C6" i="18"/>
  <c r="E6" i="18" s="1"/>
  <c r="E5" i="18"/>
  <c r="C4" i="18"/>
  <c r="K30" i="14" l="1"/>
  <c r="G43" i="14" s="1"/>
  <c r="G45" i="14" s="1"/>
  <c r="G47" i="14" s="1"/>
  <c r="C11" i="18"/>
  <c r="E4" i="18"/>
  <c r="E11" i="18" s="1"/>
  <c r="C19" i="18" s="1"/>
  <c r="E7" i="15"/>
  <c r="G7" i="15" s="1"/>
  <c r="E5" i="15"/>
  <c r="E6" i="15"/>
  <c r="G6" i="15" s="1"/>
  <c r="E8" i="15"/>
  <c r="E9" i="15"/>
  <c r="E10" i="15"/>
  <c r="E4" i="15"/>
  <c r="C11" i="15"/>
  <c r="I8" i="15" l="1"/>
  <c r="I9" i="15"/>
  <c r="I4" i="15"/>
  <c r="I6" i="15"/>
  <c r="I7" i="15"/>
  <c r="I5" i="15"/>
  <c r="I10" i="15"/>
  <c r="C17" i="18"/>
  <c r="C15" i="18"/>
  <c r="D9" i="7"/>
  <c r="D10" i="7"/>
  <c r="F25" i="6"/>
  <c r="E11" i="15"/>
  <c r="C9" i="14"/>
  <c r="C40" i="14" s="1"/>
  <c r="E30" i="14"/>
  <c r="D43" i="14" s="1"/>
  <c r="E22" i="14"/>
  <c r="D42" i="14" s="1"/>
  <c r="D31" i="2"/>
  <c r="D32" i="2" s="1"/>
  <c r="D33" i="2" s="1"/>
  <c r="P13" i="11"/>
  <c r="N13" i="11"/>
  <c r="N12" i="11" s="1"/>
  <c r="P12" i="11"/>
  <c r="P10" i="11"/>
  <c r="P11" i="11" s="1"/>
  <c r="P9" i="11"/>
  <c r="N9" i="11"/>
  <c r="P8" i="11"/>
  <c r="N8" i="11"/>
  <c r="P7" i="11"/>
  <c r="N7" i="11"/>
  <c r="P6" i="11"/>
  <c r="N6" i="11"/>
  <c r="N10" i="11" s="1"/>
  <c r="N11" i="11" s="1"/>
  <c r="P5" i="11"/>
  <c r="N5" i="11"/>
  <c r="P4" i="11"/>
  <c r="H30" i="11"/>
  <c r="H29" i="11"/>
  <c r="H28" i="11"/>
  <c r="H27" i="11"/>
  <c r="I27" i="11" s="1"/>
  <c r="H26" i="11"/>
  <c r="H25" i="11"/>
  <c r="H24" i="11"/>
  <c r="H23" i="11"/>
  <c r="I23" i="11" s="1"/>
  <c r="H22" i="11"/>
  <c r="H21" i="11"/>
  <c r="H20" i="11"/>
  <c r="H19" i="11"/>
  <c r="I19" i="11" s="1"/>
  <c r="H18" i="11"/>
  <c r="I18" i="11" s="1"/>
  <c r="H17" i="11"/>
  <c r="I17" i="11" s="1"/>
  <c r="H16" i="11"/>
  <c r="H15" i="11"/>
  <c r="I15" i="11" s="1"/>
  <c r="H14" i="11"/>
  <c r="I14" i="11" s="1"/>
  <c r="H13" i="11"/>
  <c r="H12" i="11"/>
  <c r="H11" i="11"/>
  <c r="I11" i="11" s="1"/>
  <c r="H10" i="11"/>
  <c r="H9" i="11"/>
  <c r="H8" i="11"/>
  <c r="H7" i="11"/>
  <c r="I7" i="11" s="1"/>
  <c r="H6" i="11"/>
  <c r="H5" i="11"/>
  <c r="I13" i="11" l="1"/>
  <c r="H31" i="11"/>
  <c r="G11" i="15"/>
  <c r="J25" i="11"/>
  <c r="I25" i="11"/>
  <c r="J26" i="11"/>
  <c r="I26" i="11"/>
  <c r="J28" i="11"/>
  <c r="I28" i="11"/>
  <c r="J22" i="11"/>
  <c r="I22" i="11"/>
  <c r="J29" i="11"/>
  <c r="I29" i="11"/>
  <c r="J27" i="11"/>
  <c r="J30" i="11"/>
  <c r="I30" i="11"/>
  <c r="J24" i="11"/>
  <c r="I24" i="11"/>
  <c r="I11" i="15"/>
  <c r="J20" i="11"/>
  <c r="I20" i="11"/>
  <c r="J18" i="11"/>
  <c r="J21" i="11"/>
  <c r="I21" i="11"/>
  <c r="I5" i="11"/>
  <c r="J19" i="11"/>
  <c r="J16" i="11"/>
  <c r="I16" i="11"/>
  <c r="J14" i="11"/>
  <c r="J12" i="11"/>
  <c r="I12" i="11"/>
  <c r="J11" i="11"/>
  <c r="J10" i="11"/>
  <c r="I10" i="11"/>
  <c r="J9" i="11"/>
  <c r="I9" i="11"/>
  <c r="J8" i="11"/>
  <c r="I8" i="11"/>
  <c r="J6" i="11"/>
  <c r="I6" i="11"/>
  <c r="J7" i="11"/>
  <c r="J23" i="11"/>
  <c r="J15" i="11"/>
  <c r="C15" i="14"/>
  <c r="C41" i="14" s="1"/>
  <c r="J13" i="11"/>
  <c r="J17" i="11"/>
  <c r="F25" i="4"/>
  <c r="E26" i="4"/>
  <c r="G26" i="4" s="1"/>
  <c r="E27" i="4"/>
  <c r="G27" i="4" s="1"/>
  <c r="E28" i="4"/>
  <c r="G28" i="4" s="1"/>
  <c r="E29" i="4"/>
  <c r="G29" i="4" s="1"/>
  <c r="E30" i="4"/>
  <c r="G30" i="4" s="1"/>
  <c r="E31" i="4"/>
  <c r="G31" i="4" s="1"/>
  <c r="E32" i="4"/>
  <c r="G32" i="4" s="1"/>
  <c r="E33" i="4"/>
  <c r="G33" i="4" s="1"/>
  <c r="E34" i="4"/>
  <c r="G34" i="4" s="1"/>
  <c r="E35" i="4"/>
  <c r="E36" i="4"/>
  <c r="E37" i="4"/>
  <c r="E38" i="4"/>
  <c r="E39" i="4"/>
  <c r="E40" i="4"/>
  <c r="E41" i="4"/>
  <c r="E42" i="4"/>
  <c r="E25" i="4"/>
  <c r="E6" i="4"/>
  <c r="E7" i="4"/>
  <c r="G7" i="4" s="1"/>
  <c r="E8" i="4"/>
  <c r="G8" i="4" s="1"/>
  <c r="E9" i="4"/>
  <c r="E10" i="4"/>
  <c r="E11" i="4"/>
  <c r="E12" i="4"/>
  <c r="E13" i="4"/>
  <c r="E14" i="4"/>
  <c r="E15" i="4"/>
  <c r="H15" i="4" s="1"/>
  <c r="E16" i="4"/>
  <c r="E17" i="4"/>
  <c r="E18" i="4"/>
  <c r="E19" i="4"/>
  <c r="E20" i="4"/>
  <c r="E21" i="4"/>
  <c r="E5" i="4"/>
  <c r="E5" i="3"/>
  <c r="E6" i="3"/>
  <c r="E7" i="3"/>
  <c r="E8" i="3"/>
  <c r="E9" i="3"/>
  <c r="E10" i="3"/>
  <c r="E11" i="3"/>
  <c r="E12" i="3"/>
  <c r="E13" i="3"/>
  <c r="E14" i="3"/>
  <c r="E15" i="3"/>
  <c r="E16" i="3"/>
  <c r="I31" i="11" l="1"/>
  <c r="J31" i="11"/>
  <c r="G25" i="4"/>
  <c r="H25" i="4"/>
  <c r="F6" i="4"/>
  <c r="G6" i="4"/>
  <c r="L9" i="3"/>
  <c r="K9" i="3"/>
  <c r="J9" i="3"/>
  <c r="K12" i="3"/>
  <c r="J12" i="3"/>
  <c r="L12" i="3"/>
  <c r="J8" i="3"/>
  <c r="K8" i="3"/>
  <c r="L8" i="3"/>
  <c r="L15" i="3"/>
  <c r="K15" i="3"/>
  <c r="J15" i="3"/>
  <c r="L13" i="3"/>
  <c r="K13" i="3"/>
  <c r="J13" i="3"/>
  <c r="K16" i="3"/>
  <c r="J16" i="3"/>
  <c r="L16" i="3"/>
  <c r="L11" i="3"/>
  <c r="K11" i="3"/>
  <c r="J11" i="3"/>
  <c r="K14" i="3"/>
  <c r="L14" i="3"/>
  <c r="J14" i="3"/>
  <c r="K10" i="3"/>
  <c r="L10" i="3"/>
  <c r="J10" i="3"/>
  <c r="C4" i="7"/>
  <c r="C5" i="7" s="1"/>
  <c r="E15" i="14"/>
  <c r="D41" i="14" s="1"/>
  <c r="E36" i="14"/>
  <c r="D44" i="14" s="1"/>
  <c r="F28" i="4"/>
  <c r="H28" i="4"/>
  <c r="F37" i="4"/>
  <c r="H37" i="4"/>
  <c r="G37" i="4"/>
  <c r="F29" i="4"/>
  <c r="H29" i="4"/>
  <c r="F32" i="4"/>
  <c r="H32" i="4"/>
  <c r="F39" i="4"/>
  <c r="H39" i="4"/>
  <c r="G39" i="4"/>
  <c r="F35" i="4"/>
  <c r="G35" i="4"/>
  <c r="H35" i="4"/>
  <c r="F31" i="4"/>
  <c r="H31" i="4"/>
  <c r="F27" i="4"/>
  <c r="H27" i="4"/>
  <c r="F41" i="4"/>
  <c r="H41" i="4"/>
  <c r="G41" i="4"/>
  <c r="F33" i="4"/>
  <c r="H33" i="4"/>
  <c r="F40" i="4"/>
  <c r="H40" i="4"/>
  <c r="G40" i="4"/>
  <c r="F36" i="4"/>
  <c r="H36" i="4"/>
  <c r="G36" i="4"/>
  <c r="F42" i="4"/>
  <c r="G42" i="4"/>
  <c r="H42" i="4"/>
  <c r="F38" i="4"/>
  <c r="G38" i="4"/>
  <c r="H38" i="4"/>
  <c r="F34" i="4"/>
  <c r="H34" i="4"/>
  <c r="F30" i="4"/>
  <c r="H30" i="4"/>
  <c r="F26" i="4"/>
  <c r="H26" i="4"/>
  <c r="D45" i="14" l="1"/>
  <c r="G48" i="14" s="1"/>
  <c r="C36" i="14"/>
  <c r="C44" i="14" s="1"/>
  <c r="C22" i="14"/>
  <c r="C42" i="14" s="1"/>
  <c r="C45" i="14" s="1"/>
  <c r="D10" i="1"/>
  <c r="D6" i="8" l="1"/>
  <c r="E6" i="8"/>
  <c r="C6" i="8"/>
  <c r="C13" i="18"/>
  <c r="H21" i="4"/>
  <c r="G21" i="4"/>
  <c r="F21" i="4"/>
  <c r="H43" i="4"/>
  <c r="G43" i="4"/>
  <c r="C43" i="4"/>
  <c r="F43" i="4"/>
  <c r="E4" i="3"/>
  <c r="C22" i="4"/>
  <c r="C12" i="7" l="1"/>
  <c r="D11" i="7"/>
  <c r="G16" i="4"/>
  <c r="F16" i="4"/>
  <c r="H16" i="4"/>
  <c r="F8" i="4"/>
  <c r="H8" i="4"/>
  <c r="H11" i="4"/>
  <c r="G11" i="4"/>
  <c r="F11" i="4"/>
  <c r="H20" i="4"/>
  <c r="G20" i="4"/>
  <c r="F20" i="4"/>
  <c r="H12" i="4"/>
  <c r="G12" i="4"/>
  <c r="F12" i="4"/>
  <c r="H19" i="4"/>
  <c r="G19" i="4"/>
  <c r="F19" i="4"/>
  <c r="G15" i="4"/>
  <c r="F15" i="4"/>
  <c r="H7" i="4"/>
  <c r="F7" i="4"/>
  <c r="H18" i="4"/>
  <c r="G18" i="4"/>
  <c r="F18" i="4"/>
  <c r="H14" i="4"/>
  <c r="G14" i="4"/>
  <c r="F14" i="4"/>
  <c r="H10" i="4"/>
  <c r="G10" i="4"/>
  <c r="F10" i="4"/>
  <c r="H6" i="4"/>
  <c r="H17" i="4"/>
  <c r="G17" i="4"/>
  <c r="F17" i="4"/>
  <c r="H13" i="4"/>
  <c r="G13" i="4"/>
  <c r="F13" i="4"/>
  <c r="H9" i="4"/>
  <c r="G9" i="4"/>
  <c r="F9" i="4"/>
  <c r="E43" i="4"/>
  <c r="E22" i="4"/>
  <c r="D12" i="7" l="1"/>
  <c r="C13" i="7"/>
  <c r="D13" i="7" s="1"/>
  <c r="C25" i="6"/>
  <c r="F22" i="4"/>
  <c r="G22" i="4"/>
  <c r="H22" i="4"/>
  <c r="L17" i="3"/>
  <c r="K17" i="3"/>
  <c r="C17" i="3"/>
  <c r="E5" i="8" l="1"/>
  <c r="D5" i="8"/>
  <c r="J17" i="3"/>
  <c r="C5" i="8" s="1"/>
  <c r="E17" i="3"/>
  <c r="C24" i="6" s="1"/>
  <c r="C26" i="6" s="1"/>
  <c r="E13" i="7" l="1"/>
  <c r="F24" i="6"/>
  <c r="E11" i="7"/>
  <c r="E10" i="7"/>
  <c r="E12" i="7"/>
  <c r="E9" i="7"/>
  <c r="F23" i="6"/>
  <c r="E6" i="6"/>
  <c r="E9" i="6"/>
  <c r="E7" i="6"/>
  <c r="F10" i="6" l="1"/>
  <c r="E10" i="6"/>
  <c r="F8" i="6"/>
  <c r="E8" i="6"/>
  <c r="H4" i="2"/>
  <c r="F17" i="6"/>
  <c r="F9" i="6"/>
  <c r="F11" i="6"/>
  <c r="F7" i="6"/>
  <c r="F6" i="6"/>
  <c r="J4" i="2" l="1"/>
  <c r="F4" i="6"/>
  <c r="F5" i="2" l="1"/>
  <c r="F6" i="2"/>
  <c r="H6" i="2" s="1"/>
  <c r="F7" i="2"/>
  <c r="H7" i="2" s="1"/>
  <c r="H5" i="2" l="1"/>
  <c r="E5" i="6"/>
  <c r="J5" i="2" l="1"/>
  <c r="L104" i="2"/>
  <c r="F5" i="6"/>
  <c r="D12" i="8" l="1"/>
  <c r="C12" i="8"/>
  <c r="E12" i="8"/>
  <c r="F16" i="2"/>
  <c r="H16" i="2" s="1"/>
  <c r="F15" i="2"/>
  <c r="E12" i="6" s="1"/>
  <c r="E21" i="6" s="1"/>
  <c r="D12" i="6"/>
  <c r="D21" i="6" s="1"/>
  <c r="H15" i="2" l="1"/>
  <c r="F12" i="6"/>
  <c r="F21" i="6" s="1"/>
  <c r="F104" i="2"/>
  <c r="H104" i="2" l="1"/>
  <c r="E4" i="8"/>
  <c r="E7" i="8" s="1"/>
  <c r="J104" i="2"/>
  <c r="B5" i="12" l="1"/>
  <c r="B3" i="12"/>
  <c r="C4" i="8"/>
  <c r="C7" i="8" s="1"/>
  <c r="E13" i="8"/>
  <c r="B4" i="12"/>
  <c r="D4" i="8"/>
  <c r="D7" i="8" s="1"/>
  <c r="C13" i="8" l="1"/>
  <c r="D13" i="8"/>
</calcChain>
</file>

<file path=xl/comments1.xml><?xml version="1.0" encoding="utf-8"?>
<comments xmlns="http://schemas.openxmlformats.org/spreadsheetml/2006/main">
  <authors>
    <author>user</author>
  </authors>
  <commentList>
    <comment ref="B8" authorId="0" shapeId="0">
      <text>
        <r>
          <rPr>
            <b/>
            <sz val="12"/>
            <color indexed="81"/>
            <rFont val="Tahoma"/>
            <family val="2"/>
          </rPr>
          <t xml:space="preserve">Céréales
</t>
        </r>
        <r>
          <rPr>
            <sz val="12"/>
            <color indexed="81"/>
            <rFont val="Tahoma"/>
            <family val="2"/>
          </rPr>
          <t>Inscrivez uniquement la superficie dédiée à l'alimentation de votre troupeau.</t>
        </r>
      </text>
    </comment>
    <comment ref="C8" authorId="0" shapeId="0">
      <text>
        <r>
          <rPr>
            <b/>
            <sz val="12"/>
            <color indexed="81"/>
            <rFont val="Tahoma"/>
            <family val="2"/>
          </rPr>
          <t>Céréales</t>
        </r>
        <r>
          <rPr>
            <sz val="12"/>
            <color indexed="81"/>
            <rFont val="Tahoma"/>
            <family val="2"/>
          </rPr>
          <t xml:space="preserve">
Inscrivez uniquement la superficie dédiée à l'alimentation de votre troupeau.</t>
        </r>
      </text>
    </comment>
    <comment ref="D8" authorId="0" shapeId="0">
      <text>
        <r>
          <rPr>
            <b/>
            <sz val="12"/>
            <color indexed="81"/>
            <rFont val="Tahoma"/>
            <family val="2"/>
          </rPr>
          <t>Céréales</t>
        </r>
        <r>
          <rPr>
            <sz val="12"/>
            <color indexed="81"/>
            <rFont val="Tahoma"/>
            <family val="2"/>
          </rPr>
          <t xml:space="preserve">
Inscrivez uniquement la superficie dédiée à l'alimentation de votre troupeau.</t>
        </r>
      </text>
    </comment>
  </commentList>
</comments>
</file>

<file path=xl/comments10.xml><?xml version="1.0" encoding="utf-8"?>
<comments xmlns="http://schemas.openxmlformats.org/spreadsheetml/2006/main">
  <authors>
    <author>user</author>
  </authors>
  <commentList>
    <comment ref="B2" authorId="0" shapeId="0">
      <text>
        <r>
          <rPr>
            <sz val="12"/>
            <color indexed="81"/>
            <rFont val="Tahoma"/>
            <family val="2"/>
          </rPr>
          <t>Les données proposées proviennent de tableaux distribués à l'école d'agriculture de Ciney St-Quentin (EPASC).</t>
        </r>
      </text>
    </comment>
  </commentList>
</comments>
</file>

<file path=xl/comments2.xml><?xml version="1.0" encoding="utf-8"?>
<comments xmlns="http://schemas.openxmlformats.org/spreadsheetml/2006/main">
  <authors>
    <author>Sacha</author>
    <author>user</author>
  </authors>
  <commentList>
    <comment ref="G3" authorId="0" shapeId="0">
      <text>
        <r>
          <rPr>
            <sz val="12"/>
            <color indexed="81"/>
            <rFont val="Tahoma"/>
            <family val="2"/>
          </rPr>
          <t>Introduisez vos valeurs en pourcentage (%).
Si vous ne disposez pas de vos propres résultats d'analyses, les valeurs alimentaires moyennes de nombreux fourrages et aliments se trouvent dans la feuille Excel "Annexe1".</t>
        </r>
      </text>
    </comment>
    <comment ref="I3" authorId="1" shapeId="0">
      <text>
        <r>
          <rPr>
            <sz val="12"/>
            <color indexed="81"/>
            <rFont val="Tahoma"/>
            <family val="2"/>
          </rPr>
          <t>Si vous ne disposez pas de vos propres résultats d'analyses, les valeurs alimentaires moyennes de nombreux fourrages et aliments se trouvent dans la feuille Excel "Annexe1".</t>
        </r>
      </text>
    </comment>
    <comment ref="K3" authorId="1" shapeId="0">
      <text>
        <r>
          <rPr>
            <sz val="12"/>
            <color indexed="81"/>
            <rFont val="Tahoma"/>
            <family val="2"/>
          </rPr>
          <t>Si vous ne disposez pas de vos propres résultats d'analyses, les valeurs alimentaires moyennes de nombreux fourrages et aliments se trouvent dans la feuille Excel "Annexe1".</t>
        </r>
      </text>
    </comment>
    <comment ref="B13" authorId="1" shapeId="0">
      <text>
        <r>
          <rPr>
            <b/>
            <sz val="12"/>
            <color indexed="81"/>
            <rFont val="Tahoma"/>
            <family val="2"/>
          </rPr>
          <t xml:space="preserve">Céréales
</t>
        </r>
        <r>
          <rPr>
            <sz val="12"/>
            <color indexed="81"/>
            <rFont val="Tahoma"/>
            <family val="2"/>
          </rPr>
          <t>Superficie à renseigner uniquement si la paille et/ou le grain est destiné à l'alimentation du troupeau.</t>
        </r>
      </text>
    </comment>
    <comment ref="B15" authorId="1" shapeId="0">
      <text>
        <r>
          <rPr>
            <b/>
            <sz val="12"/>
            <color indexed="81"/>
            <rFont val="Tahoma"/>
            <family val="2"/>
          </rPr>
          <t>Céréales</t>
        </r>
        <r>
          <rPr>
            <sz val="12"/>
            <color indexed="81"/>
            <rFont val="Tahoma"/>
            <family val="2"/>
          </rPr>
          <t xml:space="preserve">
Superficie à renseigner uniquement si la paille et/ou le grain est destiné à l'alimentation du troupeau.</t>
        </r>
      </text>
    </comment>
    <comment ref="B17" authorId="1" shapeId="0">
      <text>
        <r>
          <rPr>
            <b/>
            <sz val="12"/>
            <color indexed="81"/>
            <rFont val="Tahoma"/>
            <family val="2"/>
          </rPr>
          <t>Céréales</t>
        </r>
        <r>
          <rPr>
            <sz val="12"/>
            <color indexed="81"/>
            <rFont val="Tahoma"/>
            <family val="2"/>
          </rPr>
          <t xml:space="preserve">
Superficie à renseigner uniquement si la paille et/ou le grain est destiné à l'alimentation du troupeau.</t>
        </r>
      </text>
    </comment>
    <comment ref="B19" authorId="1" shapeId="0">
      <text>
        <r>
          <rPr>
            <b/>
            <sz val="12"/>
            <color indexed="81"/>
            <rFont val="Tahoma"/>
            <family val="2"/>
          </rPr>
          <t>Céréales</t>
        </r>
        <r>
          <rPr>
            <sz val="12"/>
            <color indexed="81"/>
            <rFont val="Tahoma"/>
            <family val="2"/>
          </rPr>
          <t xml:space="preserve">
Superficie à renseigner uniquement si la paille et/ou le grain est destiné à l'alimentation du troupeau.</t>
        </r>
      </text>
    </comment>
    <comment ref="B21" authorId="1" shapeId="0">
      <text>
        <r>
          <rPr>
            <b/>
            <sz val="12"/>
            <color indexed="81"/>
            <rFont val="Tahoma"/>
            <family val="2"/>
          </rPr>
          <t>Céréales</t>
        </r>
        <r>
          <rPr>
            <sz val="12"/>
            <color indexed="81"/>
            <rFont val="Tahoma"/>
            <family val="2"/>
          </rPr>
          <t xml:space="preserve">
Superficie à renseigner uniquement si la paille et/ou le grain est destiné à l'alimentation du troupeau.</t>
        </r>
      </text>
    </comment>
    <comment ref="B23" authorId="1" shapeId="0">
      <text>
        <r>
          <rPr>
            <b/>
            <sz val="12"/>
            <color indexed="81"/>
            <rFont val="Tahoma"/>
            <family val="2"/>
          </rPr>
          <t>Céréales</t>
        </r>
        <r>
          <rPr>
            <sz val="12"/>
            <color indexed="81"/>
            <rFont val="Tahoma"/>
            <family val="2"/>
          </rPr>
          <t xml:space="preserve">
Superficie à renseigner uniquement si la paille et/ou le grain est destiné à l'alimentation du troupeau.</t>
        </r>
      </text>
    </comment>
  </commentList>
</comments>
</file>

<file path=xl/comments3.xml><?xml version="1.0" encoding="utf-8"?>
<comments xmlns="http://schemas.openxmlformats.org/spreadsheetml/2006/main">
  <authors>
    <author>Sacha</author>
  </authors>
  <commentList>
    <comment ref="F4" authorId="0" shapeId="0">
      <text>
        <r>
          <rPr>
            <b/>
            <sz val="12"/>
            <color indexed="81"/>
            <rFont val="Tahoma"/>
            <family val="2"/>
          </rPr>
          <t>Données</t>
        </r>
        <r>
          <rPr>
            <sz val="12"/>
            <color indexed="81"/>
            <rFont val="Tahoma"/>
            <family val="2"/>
          </rPr>
          <t xml:space="preserve">
Prendre la valeur moyenne correspondant à votre région dans le tableau ci-contre.</t>
        </r>
        <r>
          <rPr>
            <sz val="9"/>
            <color indexed="81"/>
            <rFont val="Tahoma"/>
            <family val="2"/>
          </rPr>
          <t xml:space="preserve">
</t>
        </r>
      </text>
    </comment>
    <comment ref="G4" authorId="0" shapeId="0">
      <text>
        <r>
          <rPr>
            <b/>
            <sz val="12"/>
            <color indexed="81"/>
            <rFont val="Tahoma"/>
            <family val="2"/>
          </rPr>
          <t>Données</t>
        </r>
        <r>
          <rPr>
            <sz val="12"/>
            <color indexed="81"/>
            <rFont val="Tahoma"/>
            <family val="2"/>
          </rPr>
          <t xml:space="preserve">
Sélectionnez la qualité de l'herbe parmis les 3 propositions, selon votre appréciation.</t>
        </r>
      </text>
    </comment>
  </commentList>
</comments>
</file>

<file path=xl/comments4.xml><?xml version="1.0" encoding="utf-8"?>
<comments xmlns="http://schemas.openxmlformats.org/spreadsheetml/2006/main">
  <authors>
    <author>user</author>
  </authors>
  <commentList>
    <comment ref="D3" authorId="0" shapeId="0">
      <text>
        <r>
          <rPr>
            <sz val="12"/>
            <color indexed="81"/>
            <rFont val="Tahoma"/>
            <family val="2"/>
          </rPr>
          <t>Introduisez vos valeurs en pourcentage (%).
Si vous ne disposez pas de vos propres résultats d'analyses, les valeurs alimentaires moyennes de nombreux fourrages et aliments se trouvent dans la feuille Excel "Annexe1".</t>
        </r>
      </text>
    </comment>
    <comment ref="F3" authorId="0" shapeId="0">
      <text>
        <r>
          <rPr>
            <sz val="12"/>
            <color indexed="81"/>
            <rFont val="Tahoma"/>
            <family val="2"/>
          </rPr>
          <t>Si vous ne disposez pas de vos propres résultats d'analyses, les valeurs alimentaires moyennes de nombreux fourrages et aliments se trouvent dans la feuille Excel "Annexe1".</t>
        </r>
      </text>
    </comment>
    <comment ref="H3" authorId="0" shapeId="0">
      <text>
        <r>
          <rPr>
            <sz val="12"/>
            <color indexed="81"/>
            <rFont val="Tahoma"/>
            <family val="2"/>
          </rPr>
          <t>Si vous ne disposez pas de vos propres résultats d'analyses, les valeurs alimentaires moyennes de nombreux fourrages et aliments se trouvent dans la feuille Excel "Annexe1".</t>
        </r>
      </text>
    </comment>
  </commentList>
</comments>
</file>

<file path=xl/comments5.xml><?xml version="1.0" encoding="utf-8"?>
<comments xmlns="http://schemas.openxmlformats.org/spreadsheetml/2006/main">
  <authors>
    <author>user</author>
    <author>Sacha</author>
  </authors>
  <commentList>
    <comment ref="B3" authorId="0" shapeId="0">
      <text>
        <r>
          <rPr>
            <sz val="12"/>
            <color indexed="81"/>
            <rFont val="Tahoma"/>
            <family val="2"/>
          </rPr>
          <t>Les besoins des troupeaux laitiers et viandeux hormis ceux des vaches en lactation, taries et allaitantes, ont été calculés sur base des besoins d'entretien d'une vache laitière multipare et d'une vache allaitante multipliés par la valeur UGB alimentaire de chaque catégorie d'animaux.</t>
        </r>
      </text>
    </comment>
    <comment ref="H3" authorId="1" shapeId="0">
      <text>
        <r>
          <rPr>
            <b/>
            <sz val="12"/>
            <color indexed="81"/>
            <rFont val="Tahoma"/>
            <family val="2"/>
          </rPr>
          <t xml:space="preserve">Données :
</t>
        </r>
        <r>
          <rPr>
            <sz val="12"/>
            <color indexed="81"/>
            <rFont val="Tahoma"/>
            <family val="2"/>
          </rPr>
          <t>Introduire les taux en pourcent.</t>
        </r>
      </text>
    </comment>
    <comment ref="I3" authorId="1" shapeId="0">
      <text>
        <r>
          <rPr>
            <b/>
            <sz val="12"/>
            <color indexed="81"/>
            <rFont val="Tahoma"/>
            <family val="2"/>
          </rPr>
          <t xml:space="preserve">Données :
</t>
        </r>
        <r>
          <rPr>
            <sz val="12"/>
            <color indexed="81"/>
            <rFont val="Tahoma"/>
            <family val="2"/>
          </rPr>
          <t>Introduire les taux en pourcent.</t>
        </r>
        <r>
          <rPr>
            <sz val="9"/>
            <color indexed="81"/>
            <rFont val="Tahoma"/>
            <family val="2"/>
          </rPr>
          <t xml:space="preserve">
</t>
        </r>
      </text>
    </comment>
    <comment ref="J3" authorId="0" shapeId="0">
      <text>
        <r>
          <rPr>
            <sz val="12"/>
            <color indexed="81"/>
            <rFont val="Tahoma"/>
            <family val="2"/>
          </rPr>
          <t>Les besoins du troupeau laitier sont calculés sur base des besoins d'entretien d'une vache laitière multipare multipliés par la valeur UGB alimentaire de chaque catégorie d'animaux, excepté pour les vaches en lactation et les vaches taries dont les besoins sont calculés par d'autres formules.</t>
        </r>
      </text>
    </comment>
    <comment ref="K3" authorId="0" shapeId="0">
      <text>
        <r>
          <rPr>
            <sz val="12"/>
            <color indexed="81"/>
            <rFont val="Tahoma"/>
            <family val="2"/>
          </rPr>
          <t>Les besoins du troupeau laitier sont calculés sur base des besoins d'entretien d'une vache laitière multipare multipliés par la valeur UGB alimentaire de chaque catégorie d'animaux, excepté pour les vaches en lactation et les vaches taries dont les besoins sont calculés par d'autres formules.</t>
        </r>
      </text>
    </comment>
    <comment ref="L3" authorId="0" shapeId="0">
      <text>
        <r>
          <rPr>
            <sz val="12"/>
            <color indexed="81"/>
            <rFont val="Tahoma"/>
            <family val="2"/>
          </rPr>
          <t>Les besoins du troupeau laitier sont calculés sur base des besoins d'entretien d'une vache laitière multipare multipliés par la valeur UGB alimentaire de chaque catégorie d'animaux, excepté pour les vaches en lactation et les vaches taries dont les besoins sont calculés par d'autres formules.</t>
        </r>
      </text>
    </comment>
  </commentList>
</comments>
</file>

<file path=xl/comments6.xml><?xml version="1.0" encoding="utf-8"?>
<comments xmlns="http://schemas.openxmlformats.org/spreadsheetml/2006/main">
  <authors>
    <author>user</author>
    <author>Sacha</author>
  </authors>
  <commentList>
    <comment ref="F4" authorId="0" shapeId="0">
      <text>
        <r>
          <rPr>
            <sz val="12"/>
            <color indexed="81"/>
            <rFont val="Tahoma"/>
            <family val="2"/>
          </rPr>
          <t>Les besoins du troupeau viandeux sont calculés sur base des besoins d'entretien d'une vache allaitante en fonction de la race du troupeau, multipliés par la valeur UGB alimentaire de chaque catégorie d'animaux.</t>
        </r>
      </text>
    </comment>
    <comment ref="G4" authorId="0" shapeId="0">
      <text>
        <r>
          <rPr>
            <sz val="12"/>
            <color indexed="81"/>
            <rFont val="Tahoma"/>
            <family val="2"/>
          </rPr>
          <t>Les besoins du troupeau viandeux sont calculés sur base des besoins d'entretien d'une vache allaitante en fonction de la race du troupeau, multipliés par la valeur UGB alimentaire de chaque catégorie d'animaux.</t>
        </r>
      </text>
    </comment>
    <comment ref="H4" authorId="0" shapeId="0">
      <text>
        <r>
          <rPr>
            <sz val="12"/>
            <color indexed="81"/>
            <rFont val="Tahoma"/>
            <family val="2"/>
          </rPr>
          <t>Les besoins du troupeau viandeux sont calculés sur base des besoins d'entretien d'une vache allaitante en fonction de la race du troupeau, multipliés par la valeur UGB alimentaire de chaque catégorie d'animaux.</t>
        </r>
      </text>
    </comment>
    <comment ref="F23" authorId="1" shapeId="0">
      <text>
        <r>
          <rPr>
            <b/>
            <sz val="12"/>
            <color indexed="81"/>
            <rFont val="Tahoma"/>
            <family val="2"/>
          </rPr>
          <t>Race :</t>
        </r>
        <r>
          <rPr>
            <sz val="12"/>
            <color indexed="81"/>
            <rFont val="Tahoma"/>
            <family val="2"/>
          </rPr>
          <t xml:space="preserve">
Choisir la race de son troupeau allaitant parmis celles proposées dans la liste déroulante de cette cellule.</t>
        </r>
      </text>
    </comment>
    <comment ref="F24" authorId="0" shapeId="0">
      <text>
        <r>
          <rPr>
            <sz val="12"/>
            <color indexed="81"/>
            <rFont val="Tahoma"/>
            <family val="2"/>
          </rPr>
          <t>Les besoins du troupeau viandeux sont calculés sur base des besoins d'entretien d'une vache allaitante en fonction de la race du troupeau, multipliés par la valeur UGB alimentaire de chaque catégorie d'animaux.</t>
        </r>
      </text>
    </comment>
    <comment ref="G24" authorId="0" shapeId="0">
      <text>
        <r>
          <rPr>
            <sz val="12"/>
            <color indexed="81"/>
            <rFont val="Tahoma"/>
            <family val="2"/>
          </rPr>
          <t>Les besoins du troupeau viandeux sont calculés sur base des besoins d'entretien d'une vache allaitante en fonction de la race du troupeau, multipliés par la valeur UGB alimentaire de chaque catégorie d'animaux.</t>
        </r>
      </text>
    </comment>
    <comment ref="H24" authorId="0" shapeId="0">
      <text>
        <r>
          <rPr>
            <sz val="12"/>
            <color indexed="81"/>
            <rFont val="Tahoma"/>
            <family val="2"/>
          </rPr>
          <t>Les besoins du troupeau viandeux sont calculés sur base des besoins d'entretien d'une vache allaitante en fonction de la race du troupeau, multipliés par la valeur UGB alimentaire de chaque catégorie d'animaux.</t>
        </r>
      </text>
    </comment>
  </commentList>
</comments>
</file>

<file path=xl/comments7.xml><?xml version="1.0" encoding="utf-8"?>
<comments xmlns="http://schemas.openxmlformats.org/spreadsheetml/2006/main">
  <authors>
    <author>user</author>
  </authors>
  <commentList>
    <comment ref="E4" authorId="0" shapeId="0">
      <text>
        <r>
          <rPr>
            <sz val="12"/>
            <color indexed="81"/>
            <rFont val="Tahoma"/>
            <family val="2"/>
          </rPr>
          <t>Ne pas faire attention à ce résultat car le calcul ne prend pas en compte la production de matière fraiche des prairies pâturées.</t>
        </r>
      </text>
    </comment>
  </commentList>
</comments>
</file>

<file path=xl/comments8.xml><?xml version="1.0" encoding="utf-8"?>
<comments xmlns="http://schemas.openxmlformats.org/spreadsheetml/2006/main">
  <authors>
    <author>user</author>
  </authors>
  <commentList>
    <comment ref="B4" authorId="0" shapeId="0">
      <text>
        <r>
          <rPr>
            <sz val="12"/>
            <color indexed="81"/>
            <rFont val="Tahoma"/>
            <family val="2"/>
          </rPr>
          <t>Si vous ne disposez pas de vos propres résultats d'analyses, les valeurs alimentaires moyennes de nombreux fourrages et aliments se trouvent dans la feuille Excel "Annexe1".</t>
        </r>
      </text>
    </comment>
    <comment ref="B11" authorId="0" shapeId="0">
      <text>
        <r>
          <rPr>
            <sz val="12"/>
            <color indexed="81"/>
            <rFont val="Tahoma"/>
            <family val="2"/>
          </rPr>
          <t>Si vous ne disposez pas de vos propres résultats d'analyses, les valeurs alimentaires moyennes de nombreux fourrages et aliments se trouvent dans la feuille Excel "Annexe1".</t>
        </r>
      </text>
    </comment>
    <comment ref="B17" authorId="0" shapeId="0">
      <text>
        <r>
          <rPr>
            <sz val="12"/>
            <color indexed="81"/>
            <rFont val="Tahoma"/>
            <family val="2"/>
          </rPr>
          <t>Si vous ne disposez pas de vos propres résultats d'analyses, les valeurs alimentaires moyennes de nombreux fourrages et aliments se trouvent dans la feuille Excel "Annexe1".</t>
        </r>
      </text>
    </comment>
    <comment ref="B24" authorId="0" shapeId="0">
      <text>
        <r>
          <rPr>
            <sz val="12"/>
            <color indexed="81"/>
            <rFont val="Tahoma"/>
            <family val="2"/>
          </rPr>
          <t>Si vous ne disposez pas de vos propres résultats d'analyses, les valeurs alimentaires moyennes de nombreux fourrages et aliments se trouvent dans la feuille Excel "Annexe1".</t>
        </r>
      </text>
    </comment>
    <comment ref="B32" authorId="0" shapeId="0">
      <text>
        <r>
          <rPr>
            <sz val="12"/>
            <color indexed="81"/>
            <rFont val="Tahoma"/>
            <family val="2"/>
          </rPr>
          <t>Si vous ne disposez pas de vos propres résultats d'analyses, les valeurs alimentaires moyennes de nombreux fourrages et aliments se trouvent dans la feuille Excel "Annexe1".</t>
        </r>
      </text>
    </comment>
  </commentList>
</comments>
</file>

<file path=xl/comments9.xml><?xml version="1.0" encoding="utf-8"?>
<comments xmlns="http://schemas.openxmlformats.org/spreadsheetml/2006/main">
  <authors>
    <author>user</author>
  </authors>
  <commentList>
    <comment ref="B12" authorId="0" shapeId="0">
      <text>
        <r>
          <rPr>
            <sz val="12"/>
            <color indexed="81"/>
            <rFont val="Tahoma"/>
            <family val="2"/>
          </rPr>
          <t xml:space="preserve">Il s'agit du pourcentage des besoins de votre troupeau couvert par votre production fourragère.
</t>
        </r>
      </text>
    </comment>
    <comment ref="B13" authorId="0" shapeId="0">
      <text>
        <r>
          <rPr>
            <sz val="12"/>
            <color indexed="81"/>
            <rFont val="Tahoma"/>
            <family val="2"/>
          </rPr>
          <t>Il s'agit de votre autonomie par rapport à vos achats extérieurs, en fonction de votre production fourragère totale.</t>
        </r>
      </text>
    </comment>
  </commentList>
</comments>
</file>

<file path=xl/sharedStrings.xml><?xml version="1.0" encoding="utf-8"?>
<sst xmlns="http://schemas.openxmlformats.org/spreadsheetml/2006/main" count="666" uniqueCount="356">
  <si>
    <t>Description</t>
  </si>
  <si>
    <t>Superficie (Ha)</t>
  </si>
  <si>
    <t>Prairies</t>
  </si>
  <si>
    <t>Maïs fourrager</t>
  </si>
  <si>
    <t>Céréales</t>
  </si>
  <si>
    <t>TOTAL</t>
  </si>
  <si>
    <t>Types de cultures</t>
  </si>
  <si>
    <t>Prairie 1</t>
  </si>
  <si>
    <t>Prairie 2</t>
  </si>
  <si>
    <t>Prairie 4</t>
  </si>
  <si>
    <t>Prairie 5</t>
  </si>
  <si>
    <t>coupe 1</t>
  </si>
  <si>
    <t>coupe 2</t>
  </si>
  <si>
    <t>coupe 3</t>
  </si>
  <si>
    <t>coupe 4</t>
  </si>
  <si>
    <t>coupe 5</t>
  </si>
  <si>
    <t>Prairie 3</t>
  </si>
  <si>
    <t>Génisses -1 an vêlage précoce</t>
  </si>
  <si>
    <t>Génisses 1-2ans vêlage précoce</t>
  </si>
  <si>
    <t>Nbre d'animaux</t>
  </si>
  <si>
    <t>Vaches laitières 1ère lactation</t>
  </si>
  <si>
    <t>Mâles -1 an</t>
  </si>
  <si>
    <t>Nbre d'UGB</t>
  </si>
  <si>
    <t>Génisses + 2 ans (24-36 mois)</t>
  </si>
  <si>
    <t>Taureaux reproducteurs (min 24 mois)</t>
  </si>
  <si>
    <t>Vaches laitières 2ème lactation et plus</t>
  </si>
  <si>
    <t>/</t>
  </si>
  <si>
    <t>Mâles 1-2 ans</t>
  </si>
  <si>
    <t>Mâles + 2 ans</t>
  </si>
  <si>
    <t>Production laitière/vache/jour (Kg)</t>
  </si>
  <si>
    <t>Ingestion (Kg MS/an)</t>
  </si>
  <si>
    <t>Ingestion VEM/an</t>
  </si>
  <si>
    <t>Ingestion g DVE/an</t>
  </si>
  <si>
    <t>Vaches taries (8ème mois de gestation)</t>
  </si>
  <si>
    <t>Vaches taries (9ème mois de gestation)</t>
  </si>
  <si>
    <t>Poids moyen animal (Kg)</t>
  </si>
  <si>
    <t>Vaches allaitantes</t>
  </si>
  <si>
    <t>Génisses - 1 an</t>
  </si>
  <si>
    <t>Génisses 1-2 ans</t>
  </si>
  <si>
    <t>Génisses + 2 ans</t>
  </si>
  <si>
    <t>Génisses 24-28 mois finition</t>
  </si>
  <si>
    <t>Génisses 30-36 mois finition</t>
  </si>
  <si>
    <t>Mâles - 1 an</t>
  </si>
  <si>
    <t>Mâles 2-3 ans</t>
  </si>
  <si>
    <t>Mâles + 3 ans</t>
  </si>
  <si>
    <t>Taureaux reproducteurs</t>
  </si>
  <si>
    <t>Taureaux finition</t>
  </si>
  <si>
    <t>Boeufs -1 an</t>
  </si>
  <si>
    <t>Boeufs 1-2 ans</t>
  </si>
  <si>
    <t>Boeufs 2-3 ans</t>
  </si>
  <si>
    <t>Boeufs + 3 ans</t>
  </si>
  <si>
    <t>Boeufs 24-36 mois en finition</t>
  </si>
  <si>
    <t>Achats</t>
  </si>
  <si>
    <t>Concentrés</t>
  </si>
  <si>
    <t>Fourrages</t>
  </si>
  <si>
    <t>Quantités (T)</t>
  </si>
  <si>
    <t xml:space="preserve">Coûts totaux </t>
  </si>
  <si>
    <t>T de MS</t>
  </si>
  <si>
    <t xml:space="preserve"> T de MS</t>
  </si>
  <si>
    <t>% MS</t>
  </si>
  <si>
    <t>Rdmt (T/Ha)</t>
  </si>
  <si>
    <t>Type de culture</t>
  </si>
  <si>
    <t>Céréale 2</t>
  </si>
  <si>
    <t>Céréale 3</t>
  </si>
  <si>
    <t>Céréale 4</t>
  </si>
  <si>
    <t>Céréale 5</t>
  </si>
  <si>
    <t>Type de prairie</t>
  </si>
  <si>
    <t>Total</t>
  </si>
  <si>
    <t>Rdmt MF</t>
  </si>
  <si>
    <t>Qualité Herbe</t>
  </si>
  <si>
    <t>Rdmt MS</t>
  </si>
  <si>
    <t>Production énergétique</t>
  </si>
  <si>
    <t>Production protéique</t>
  </si>
  <si>
    <t>Régions agricoles</t>
  </si>
  <si>
    <t>Ardenne</t>
  </si>
  <si>
    <t>Campine hennuyère</t>
  </si>
  <si>
    <t>Condroz</t>
  </si>
  <si>
    <t>Famenne</t>
  </si>
  <si>
    <t>Haute Ardenne</t>
  </si>
  <si>
    <t>Herbagère</t>
  </si>
  <si>
    <t>Jurassique</t>
  </si>
  <si>
    <t>Limoneuse</t>
  </si>
  <si>
    <t>Sablo-limoneuse</t>
  </si>
  <si>
    <t>Nbre jours Pâturés</t>
  </si>
  <si>
    <t>Moyenne</t>
  </si>
  <si>
    <t>6 à 10 T</t>
  </si>
  <si>
    <t>6,5 à 11 T</t>
  </si>
  <si>
    <t>6,5 à 11T</t>
  </si>
  <si>
    <t>4,5 à 7 T</t>
  </si>
  <si>
    <t>5 à 8 T</t>
  </si>
  <si>
    <t>5,5 à 9</t>
  </si>
  <si>
    <t>7 à 11 T</t>
  </si>
  <si>
    <t>7 à 14 T</t>
  </si>
  <si>
    <t>7,5 à 15 T</t>
  </si>
  <si>
    <t>5,5 à 11 T</t>
  </si>
  <si>
    <t>6 à 12 T</t>
  </si>
  <si>
    <t>6,5 à 13 T</t>
  </si>
  <si>
    <t>8 à 16 T</t>
  </si>
  <si>
    <t>Nom du morceau</t>
  </si>
  <si>
    <t>Production brute de l'exploitation</t>
  </si>
  <si>
    <t>Total charges opérationnelles affectées</t>
  </si>
  <si>
    <t>Marge Brute</t>
  </si>
  <si>
    <t>/UGB</t>
  </si>
  <si>
    <t>/L de lait</t>
  </si>
  <si>
    <t>Colonne1</t>
  </si>
  <si>
    <t>Besoins totaux</t>
  </si>
  <si>
    <t>Achats totaux</t>
  </si>
  <si>
    <t>T MS</t>
  </si>
  <si>
    <t>VEM</t>
  </si>
  <si>
    <t>Kg de DVE</t>
  </si>
  <si>
    <t>Quantité de MS achetée</t>
  </si>
  <si>
    <t>Coûts de production fourragère</t>
  </si>
  <si>
    <t>Coûts totaux</t>
  </si>
  <si>
    <t>Massique</t>
  </si>
  <si>
    <t>Protéique</t>
  </si>
  <si>
    <t>Couverture des besoins</t>
  </si>
  <si>
    <t>Autonomie</t>
  </si>
  <si>
    <t>Efficience économique de l'exploitation</t>
  </si>
  <si>
    <t>Vaches allaitantes suitées</t>
  </si>
  <si>
    <t xml:space="preserve">Vaches allaitantes </t>
  </si>
  <si>
    <t>Paille</t>
  </si>
  <si>
    <t>Prairie 6</t>
  </si>
  <si>
    <t>Prairie 7</t>
  </si>
  <si>
    <t>Prairie 8</t>
  </si>
  <si>
    <t>Prairie 9</t>
  </si>
  <si>
    <t>Prairie 10</t>
  </si>
  <si>
    <t>Production totale laitière annuelle (L)</t>
  </si>
  <si>
    <t>Charges variables/an</t>
  </si>
  <si>
    <t>CV/Ha</t>
  </si>
  <si>
    <t>CV/T MF</t>
  </si>
  <si>
    <t>CV/T MS</t>
  </si>
  <si>
    <t>Génisses de - 1an</t>
  </si>
  <si>
    <t>BLANC BLEU BELGE</t>
  </si>
  <si>
    <t>Préfané</t>
  </si>
  <si>
    <t>Foin</t>
  </si>
  <si>
    <t>Co-produits de l'industrie</t>
  </si>
  <si>
    <t>Prairies permanentes (610-618-670-678-600-608)</t>
  </si>
  <si>
    <t>Prairies temporaires (62-72-73)</t>
  </si>
  <si>
    <t>Type de cultures (Code culture)</t>
  </si>
  <si>
    <t>Maïs fourrager (201-202)</t>
  </si>
  <si>
    <t>Céréales (341-342-36-311-312-321-322-331-332-351-352)</t>
  </si>
  <si>
    <t>Autres cultures fourragères (381-43-71-742-743-511-512)</t>
  </si>
  <si>
    <t>Mélanges fourragers</t>
  </si>
  <si>
    <t>Mélange 4</t>
  </si>
  <si>
    <t>Mélange 5</t>
  </si>
  <si>
    <t>Autres cultures fourragères</t>
  </si>
  <si>
    <t>Stock</t>
  </si>
  <si>
    <t>Ensilage d'herbe</t>
  </si>
  <si>
    <t>Valeur UGB</t>
  </si>
  <si>
    <t>Autres vaches</t>
  </si>
  <si>
    <t>Bovins de - 1 an</t>
  </si>
  <si>
    <t>Génisses d'élevages</t>
  </si>
  <si>
    <t>Mâles de 2 ans et plus</t>
  </si>
  <si>
    <t>Bovins entre 1 et 2  ans</t>
  </si>
  <si>
    <t>Chargement par hectare de prairie</t>
  </si>
  <si>
    <t>Chargement par hectare de prairie permanente</t>
  </si>
  <si>
    <t>Chargement par hectare de prairie temporaire</t>
  </si>
  <si>
    <t>Aliments</t>
  </si>
  <si>
    <t>VEVI</t>
  </si>
  <si>
    <t>DVE</t>
  </si>
  <si>
    <t>Paille de froment</t>
  </si>
  <si>
    <t>Paille d'orge</t>
  </si>
  <si>
    <t>Paille d'avoine</t>
  </si>
  <si>
    <t>PAILLES</t>
  </si>
  <si>
    <t>Paille d'épeautre</t>
  </si>
  <si>
    <t xml:space="preserve">Paille de pois </t>
  </si>
  <si>
    <t>FOINS</t>
  </si>
  <si>
    <t>Prairie de très bonne qualité</t>
  </si>
  <si>
    <t>Prairie de bonne qualité</t>
  </si>
  <si>
    <t>Prairie de qualité moyenne</t>
  </si>
  <si>
    <t>Prairie de qualité médiocre</t>
  </si>
  <si>
    <t>Foin de luzerne</t>
  </si>
  <si>
    <t>Foin de trèfle</t>
  </si>
  <si>
    <t>Fanes de pois</t>
  </si>
  <si>
    <t>FOURRAGE VERT-FRAIS</t>
  </si>
  <si>
    <t>Herbe de pâture</t>
  </si>
  <si>
    <t>Luzerne</t>
  </si>
  <si>
    <t>Maïs</t>
  </si>
  <si>
    <t>Fanes et colets de betteraves suc.</t>
  </si>
  <si>
    <t>Feuilles de betteraves</t>
  </si>
  <si>
    <t>Colza d'hiver</t>
  </si>
  <si>
    <t>ENSILAGE D'HERBE</t>
  </si>
  <si>
    <t>Ensilage direct très bon</t>
  </si>
  <si>
    <t>Ensilage direct bon</t>
  </si>
  <si>
    <t>Ensilage direct moyen</t>
  </si>
  <si>
    <t>Ensilage direct médiocre</t>
  </si>
  <si>
    <t>ENSILAGE</t>
  </si>
  <si>
    <t>Maïs laiteux</t>
  </si>
  <si>
    <t>Maïs vitreux</t>
  </si>
  <si>
    <t>Pulpes mouillées</t>
  </si>
  <si>
    <t>Pulpes pressées</t>
  </si>
  <si>
    <t>Pulpes surpressées</t>
  </si>
  <si>
    <t>Drêches de brasserie</t>
  </si>
  <si>
    <t>RACINES ET TUBERCULES</t>
  </si>
  <si>
    <t>Pomme de terre</t>
  </si>
  <si>
    <t>Betterave sucrière</t>
  </si>
  <si>
    <t>Betterave fourragère</t>
  </si>
  <si>
    <t>Racine de chicon</t>
  </si>
  <si>
    <t>GRAINS</t>
  </si>
  <si>
    <t>Froment</t>
  </si>
  <si>
    <t>Escourgeon</t>
  </si>
  <si>
    <t>Avoine</t>
  </si>
  <si>
    <t>Triticale</t>
  </si>
  <si>
    <t>Seigle</t>
  </si>
  <si>
    <t>Pois</t>
  </si>
  <si>
    <t>Farine de luzerne</t>
  </si>
  <si>
    <t>Pulpes sèches</t>
  </si>
  <si>
    <t>Cossettes de betteraves suc.</t>
  </si>
  <si>
    <t>Pulpes d'agrumes</t>
  </si>
  <si>
    <t>Son de froment</t>
  </si>
  <si>
    <t>Rebulet</t>
  </si>
  <si>
    <t>Mélasse</t>
  </si>
  <si>
    <t>Sorgho</t>
  </si>
  <si>
    <t>Farine de manioc</t>
  </si>
  <si>
    <t>Son d'épeautre</t>
  </si>
  <si>
    <t>Pellets de maïs</t>
  </si>
  <si>
    <t>Vinasse de betterave</t>
  </si>
  <si>
    <t>TOURTEAUX S/P HUILE</t>
  </si>
  <si>
    <t>Arachide déshuilé</t>
  </si>
  <si>
    <t>Cocotier déshuilé</t>
  </si>
  <si>
    <t>Lin déshuilé</t>
  </si>
  <si>
    <t>Palmiste déshuilé</t>
  </si>
  <si>
    <t>Germes de maïs déshuilés</t>
  </si>
  <si>
    <t>Soja déshuilé</t>
  </si>
  <si>
    <t>DIVERS</t>
  </si>
  <si>
    <t xml:space="preserve">Pommes </t>
  </si>
  <si>
    <t>Poires</t>
  </si>
  <si>
    <t>Passé betterave en sirop</t>
  </si>
  <si>
    <t>Passé fruit en sirop</t>
  </si>
  <si>
    <t>Passé fruit jus</t>
  </si>
  <si>
    <t>Drêche de whisky</t>
  </si>
  <si>
    <t>Marc de pommes</t>
  </si>
  <si>
    <t xml:space="preserve">Déchets de pdt </t>
  </si>
  <si>
    <t>Lactosérum</t>
  </si>
  <si>
    <t>Mélange Fourrager 1</t>
  </si>
  <si>
    <t>Mélange Fourrager 2</t>
  </si>
  <si>
    <t>Mélange Fourrager 3</t>
  </si>
  <si>
    <t>Mélange Fourrager 4</t>
  </si>
  <si>
    <t>Mélange Fourrager 5</t>
  </si>
  <si>
    <t>Autre culture fourragère</t>
  </si>
  <si>
    <t>UGB alimentation Laitier</t>
  </si>
  <si>
    <t>UGB alimentation viandeux</t>
  </si>
  <si>
    <t>UGB alimentation Totaux</t>
  </si>
  <si>
    <t>Taux protéique du lait (%)</t>
  </si>
  <si>
    <t>Génisses de 1 à 2 ans</t>
  </si>
  <si>
    <t>inventaire du troupeau</t>
  </si>
  <si>
    <t>Inventaire du troupeau</t>
  </si>
  <si>
    <t>CV/Litre de lait</t>
  </si>
  <si>
    <t xml:space="preserve">CV/UGB </t>
  </si>
  <si>
    <t>Prix (€/T)</t>
  </si>
  <si>
    <t>Coûts d'achat (€)</t>
  </si>
  <si>
    <t>Energétique</t>
  </si>
  <si>
    <t>Prairie temporaire 1</t>
  </si>
  <si>
    <t>Prairie temporaire 2</t>
  </si>
  <si>
    <t>Prairie temporaire 3</t>
  </si>
  <si>
    <t>Prairie temporaire 4</t>
  </si>
  <si>
    <t>Prairie temporaire 5</t>
  </si>
  <si>
    <t>Mélanges fourragers (39-541-542)</t>
  </si>
  <si>
    <t>Autre production fourragère</t>
  </si>
  <si>
    <t>Vaches laitières et vaches laitières de réforme</t>
  </si>
  <si>
    <t>Génisses à l'engraissement</t>
  </si>
  <si>
    <t>Chargement par hectare de SAU fourragère</t>
  </si>
  <si>
    <t>Coûts d'achats d'aliments</t>
  </si>
  <si>
    <t>Céréales fourragères</t>
  </si>
  <si>
    <t>Sésame déshuilé</t>
  </si>
  <si>
    <t>Colza déshulié</t>
  </si>
  <si>
    <t>Coton déshuilé</t>
  </si>
  <si>
    <t>Sésame expellé</t>
  </si>
  <si>
    <t>Coton expellé</t>
  </si>
  <si>
    <t>Cocotier expellé</t>
  </si>
  <si>
    <t>Lin expellé</t>
  </si>
  <si>
    <t>Palmiste expellé</t>
  </si>
  <si>
    <t>Colza expellé</t>
  </si>
  <si>
    <t>Bourre d'épeautre</t>
  </si>
  <si>
    <t>Céréale 6</t>
  </si>
  <si>
    <t xml:space="preserve">Céréale 1 </t>
  </si>
  <si>
    <t>VEM Totaux</t>
  </si>
  <si>
    <t>Kg de DVE Totaux</t>
  </si>
  <si>
    <t>Quantité de VEM totale achetée</t>
  </si>
  <si>
    <t>Quantité de DVE totale achetée</t>
  </si>
  <si>
    <t>Outil créé par Sacha Ech-Chakrouni, étudiant au BAC AGRO de Ciney</t>
  </si>
  <si>
    <t>Mélange 1</t>
  </si>
  <si>
    <t>Mélange 2</t>
  </si>
  <si>
    <t>Mélange 3</t>
  </si>
  <si>
    <t>OUTIL DE CALCUL DE L'AUTONOMIE ALIMENTAIRE DE SON EXPLOITATION</t>
  </si>
  <si>
    <t>INTRODUCTION</t>
  </si>
  <si>
    <t>ASSOLEMENT FOURRAGER</t>
  </si>
  <si>
    <t>RENDEMENT QUANTITATIF ET QUALITATIF DES CULTURES LIÉES À L'ALIMENTATION</t>
  </si>
  <si>
    <t>Épeautre</t>
  </si>
  <si>
    <t>Grain</t>
  </si>
  <si>
    <t>PRODUCTION DE FOURRAGE PAR LE PÂTURAGE</t>
  </si>
  <si>
    <t>Rdmt moyen en fonction de la région agricole(T MS/Ha)</t>
  </si>
  <si>
    <t>Rendement</t>
  </si>
  <si>
    <t xml:space="preserve">Rendement </t>
  </si>
  <si>
    <t xml:space="preserve">Moyenne </t>
  </si>
  <si>
    <t>PRAIRIE PERMANENTE</t>
  </si>
  <si>
    <t>PRAIRIE TEMPORAIRE</t>
  </si>
  <si>
    <t>STOCK DE FOURRAGES DES ANNÉES PRÉCÉDENTES</t>
  </si>
  <si>
    <t>Fagne</t>
  </si>
  <si>
    <t>PRODUCTION FOURRAGÈRE TOTALE</t>
  </si>
  <si>
    <t>BESOINS DU TROUPEAU LAITIER</t>
  </si>
  <si>
    <t>Taux de MG du lait (%)</t>
  </si>
  <si>
    <t>Ensilage maïs</t>
  </si>
  <si>
    <t>BESOINS DU TROUPEAU VIANDEUX</t>
  </si>
  <si>
    <t>RACE FRANÇAISE :</t>
  </si>
  <si>
    <t>Choisir une céréale</t>
  </si>
  <si>
    <t>Choisir</t>
  </si>
  <si>
    <t>NOMBRE D'UGB ET CHARGEMENT À L'HECTARE</t>
  </si>
  <si>
    <t>INVENTAIRE ACHATS D'ALIMENTS</t>
  </si>
  <si>
    <t>RÉCAPITULATIF DES ACHATS D'ALIMENTS</t>
  </si>
  <si>
    <t>MARGE BRUTE DU TROUPEAU BOVIN</t>
  </si>
  <si>
    <t>COÛTS ANNUELS</t>
  </si>
  <si>
    <t>CHARGES VARIABLES DES CULTURES FOURRAGÈRES</t>
  </si>
  <si>
    <t xml:space="preserve"> </t>
  </si>
  <si>
    <t>RÉCAPITULATIF</t>
  </si>
  <si>
    <t>CALCUL D'AUTONOMIE</t>
  </si>
  <si>
    <t>Manque à combler au niveau des besoins (achats pas pris en compte)</t>
  </si>
  <si>
    <t>VALEURS ALIMENTAIRES D'ALIMENTS UTILISÉS EN ÉLEVAGE</t>
  </si>
  <si>
    <t xml:space="preserve">Aliments </t>
  </si>
  <si>
    <t xml:space="preserve">%MS </t>
  </si>
  <si>
    <t xml:space="preserve">VEM </t>
  </si>
  <si>
    <t xml:space="preserve">VEVI </t>
  </si>
  <si>
    <t xml:space="preserve">DVE </t>
  </si>
  <si>
    <t>%MS</t>
  </si>
  <si>
    <t>Paille de graminées</t>
  </si>
  <si>
    <t>Choux moëllier</t>
  </si>
  <si>
    <t>Léger préfanage très bon</t>
  </si>
  <si>
    <t>Léger préfanage bon</t>
  </si>
  <si>
    <t>Léger préfanage moyen</t>
  </si>
  <si>
    <t>Léger préfanage médiocre</t>
  </si>
  <si>
    <t>Préfanage très bon</t>
  </si>
  <si>
    <t>Préfanage bon</t>
  </si>
  <si>
    <t>Préfanage moyen</t>
  </si>
  <si>
    <t xml:space="preserve">Préfanage médiovre </t>
  </si>
  <si>
    <t>Maïs pâteux</t>
  </si>
  <si>
    <t>Maïs pré-pâteux</t>
  </si>
  <si>
    <t>Carotte</t>
  </si>
  <si>
    <t>Navet</t>
  </si>
  <si>
    <t>Féverole</t>
  </si>
  <si>
    <t>Drêches de brasserie sèches</t>
  </si>
  <si>
    <t>CONCENTRÉS</t>
  </si>
  <si>
    <t>Arachide expellé</t>
  </si>
  <si>
    <t>Germes maïs expellés</t>
  </si>
  <si>
    <t>Pulpes de pdt</t>
  </si>
  <si>
    <t>Épluchures de pdt</t>
  </si>
  <si>
    <t>Charges opérationnelles affectées aux cultures fourragères</t>
  </si>
  <si>
    <t xml:space="preserve">Charges opérationnelles affectées (hors coûts des cultures fourragères) </t>
  </si>
  <si>
    <t>SALERS</t>
  </si>
  <si>
    <t>SCHÉMA EXPLIQUANT LE FONCTIONNEMENT GÉNÉRAL DE L'OUTIL</t>
  </si>
  <si>
    <t>g de DVE/kg de MS</t>
  </si>
  <si>
    <t>DVE Totaux</t>
  </si>
  <si>
    <t>Production fourragère totale</t>
  </si>
  <si>
    <t>Valeurs UGB alimentaires</t>
  </si>
  <si>
    <t>CV/UGB alimentaire</t>
  </si>
  <si>
    <t>VEM/kg de MS</t>
  </si>
  <si>
    <r>
      <rPr>
        <b/>
        <sz val="16"/>
        <color theme="1"/>
        <rFont val="Calibri"/>
        <family val="2"/>
        <scheme val="minor"/>
      </rPr>
      <t>Présentation de l'outil</t>
    </r>
    <r>
      <rPr>
        <sz val="11"/>
        <color theme="1"/>
        <rFont val="Calibri"/>
        <family val="2"/>
        <scheme val="minor"/>
      </rPr>
      <t xml:space="preserve">
</t>
    </r>
    <r>
      <rPr>
        <sz val="14"/>
        <color theme="1"/>
        <rFont val="Calibri"/>
        <family val="2"/>
        <scheme val="minor"/>
      </rPr>
      <t>Cet outil vous permet de calculer les niveaux d'autonomie massique, protéique et énergétique de votre exploitation. Il vous permet aussi de connaitre le niveau de réponse de votre exploitation aux besoins alimentaires de votre troupeau par votre production de fourrages et d'aliments grossiers. Votre efficience économique et votre chargement à l'hectare sont également calculés. 
Le but de l'outil est de vous donner un aperçu de votre niveau d'autonomie en peu de temps. Le niveau d'autonomie que vous obtiendrez est donc un compromis entre le temps de calcul et la précision.
Tout est calculé en fonction des données propres à votre exploitation que vous devez introduire en suivant les consignes ci-dessous.</t>
    </r>
    <r>
      <rPr>
        <sz val="12.5"/>
        <color theme="1"/>
        <rFont val="Calibri"/>
        <family val="2"/>
        <scheme val="minor"/>
      </rPr>
      <t xml:space="preserve">
</t>
    </r>
    <r>
      <rPr>
        <sz val="11"/>
        <color theme="1"/>
        <rFont val="Calibri"/>
        <family val="2"/>
        <scheme val="minor"/>
      </rPr>
      <t xml:space="preserve">
</t>
    </r>
    <r>
      <rPr>
        <b/>
        <sz val="16"/>
        <color theme="1"/>
        <rFont val="Calibri"/>
        <family val="2"/>
        <scheme val="minor"/>
      </rPr>
      <t>Consignes</t>
    </r>
    <r>
      <rPr>
        <sz val="11"/>
        <color theme="1"/>
        <rFont val="Calibri"/>
        <family val="2"/>
        <scheme val="minor"/>
      </rPr>
      <t xml:space="preserve">
</t>
    </r>
    <r>
      <rPr>
        <sz val="14"/>
        <color theme="1"/>
        <rFont val="Calibri"/>
        <family val="2"/>
        <scheme val="minor"/>
      </rPr>
      <t xml:space="preserve">• Introduisez vos données ou vos informations uniquement dans les cellules de couleur </t>
    </r>
    <r>
      <rPr>
        <u/>
        <sz val="14"/>
        <color theme="9"/>
        <rFont val="Calibri"/>
        <family val="2"/>
        <scheme val="minor"/>
      </rPr>
      <t>verte</t>
    </r>
    <r>
      <rPr>
        <sz val="14"/>
        <color theme="1"/>
        <rFont val="Calibri"/>
        <family val="2"/>
        <scheme val="minor"/>
      </rPr>
      <t xml:space="preserve">.
• Choisissez les données dans une liste déroulante pour les cellules de couleur </t>
    </r>
    <r>
      <rPr>
        <u/>
        <sz val="14"/>
        <color rgb="FF02BBE0"/>
        <rFont val="Calibri"/>
        <family val="2"/>
        <scheme val="minor"/>
      </rPr>
      <t>bleue</t>
    </r>
    <r>
      <rPr>
        <sz val="14"/>
        <color theme="1"/>
        <rFont val="Calibri"/>
        <family val="2"/>
        <scheme val="minor"/>
      </rPr>
      <t xml:space="preserve">.
• Lisez les commentaires liés aux cellules possédant dans leur coin supérieur droit un petit triangle </t>
    </r>
    <r>
      <rPr>
        <u/>
        <sz val="14"/>
        <color rgb="FFFF0000"/>
        <rFont val="Calibri"/>
        <family val="2"/>
        <scheme val="minor"/>
      </rPr>
      <t>rouge</t>
    </r>
    <r>
      <rPr>
        <sz val="14"/>
        <color theme="1"/>
        <rFont val="Calibri"/>
        <family val="2"/>
        <scheme val="minor"/>
      </rPr>
      <t xml:space="preserve"> en plaçant votre curseur sur cette cellule.
• Pour insérer vos données, il faut toujours double-cliquer sur la cellule concernée.
• Les valeurs énergétiques et protéiques de nombreux fourrages et aliments se trouvent dans la feuille Excel "Annexe1".
• Munissez-vous de votre comptabilité de gestion, d'un listing complet des achats extérieurs d'aliments (avec les quantités, les prix, ...) et de votre déclaration de superficie PAC pour votre assolement si besoin.
</t>
    </r>
    <r>
      <rPr>
        <sz val="11"/>
        <color theme="1"/>
        <rFont val="Calibri"/>
        <family val="2"/>
        <scheme val="minor"/>
      </rPr>
      <t xml:space="preserve">
</t>
    </r>
    <r>
      <rPr>
        <b/>
        <sz val="16"/>
        <color theme="1"/>
        <rFont val="Calibri"/>
        <family val="2"/>
        <scheme val="minor"/>
      </rPr>
      <t>Attention</t>
    </r>
    <r>
      <rPr>
        <sz val="11"/>
        <color theme="1"/>
        <rFont val="Calibri"/>
        <family val="2"/>
        <scheme val="minor"/>
      </rPr>
      <t xml:space="preserve">
</t>
    </r>
    <r>
      <rPr>
        <sz val="14"/>
        <color theme="1"/>
        <rFont val="Calibri"/>
        <family val="2"/>
        <scheme val="minor"/>
      </rPr>
      <t xml:space="preserve">Si l'exploitation détient un troupeau laitier et viandeux et que ce dernier représente plus de 20% du nombre total d'UGB de l'exploitation, alors les coûts de production des fourrages </t>
    </r>
    <r>
      <rPr>
        <u/>
        <sz val="14"/>
        <color theme="1"/>
        <rFont val="Calibri"/>
        <family val="2"/>
        <scheme val="minor"/>
      </rPr>
      <t>par litre de lait</t>
    </r>
    <r>
      <rPr>
        <sz val="14"/>
        <color theme="1"/>
        <rFont val="Calibri"/>
        <family val="2"/>
        <scheme val="minor"/>
      </rPr>
      <t xml:space="preserve"> et la marge brute de l'exploitation </t>
    </r>
    <r>
      <rPr>
        <u/>
        <sz val="14"/>
        <color theme="1"/>
        <rFont val="Calibri"/>
        <family val="2"/>
        <scheme val="minor"/>
      </rPr>
      <t>par litre de lait</t>
    </r>
    <r>
      <rPr>
        <sz val="14"/>
        <color theme="1"/>
        <rFont val="Calibri"/>
        <family val="2"/>
        <scheme val="minor"/>
      </rPr>
      <t xml:space="preserve"> ne sont pas calculés car ces valeurs ne seraient pas justes.
</t>
    </r>
    <r>
      <rPr>
        <sz val="11"/>
        <color theme="1"/>
        <rFont val="Calibri"/>
        <family val="2"/>
        <scheme val="minor"/>
      </rPr>
      <t xml:space="preserve">
</t>
    </r>
    <r>
      <rPr>
        <b/>
        <sz val="16"/>
        <color theme="1"/>
        <rFont val="Calibri"/>
        <family val="2"/>
        <scheme val="minor"/>
      </rPr>
      <t>Sources</t>
    </r>
    <r>
      <rPr>
        <sz val="11"/>
        <color theme="1"/>
        <rFont val="Calibri"/>
        <family val="2"/>
        <scheme val="minor"/>
      </rPr>
      <t xml:space="preserve">
</t>
    </r>
    <r>
      <rPr>
        <sz val="14"/>
        <color theme="1"/>
        <rFont val="Calibri"/>
        <family val="2"/>
        <scheme val="minor"/>
      </rPr>
      <t>Les valeurs et les formules utilisées dans cet outil ont été inspirées de documents et rapports provenant de chez Fourrages-Mieux, du CRA-W, de Requasud, de l'Institut de l'Elevage, du SPW et PAC-on-Web, de l'ULG (faculté de Gembloux Agro-Bio Tech), de l'INRA, et de Chambres d'agriculture en France.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</si>
</sst>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0.00\ &quot;Ha&quot;"/>
    <numFmt numFmtId="165" formatCode="#0.00\ &quot;T&quot;"/>
    <numFmt numFmtId="166" formatCode="#0.00\ &quot;VEM&quot;"/>
    <numFmt numFmtId="167" formatCode="#0.00\ &quot;UGB&quot;"/>
    <numFmt numFmtId="168" formatCode="#0.00\ &quot;Kg de lait/vache&quot;"/>
    <numFmt numFmtId="169" formatCode="#0.00\ &quot;Kg MS/an&quot;"/>
    <numFmt numFmtId="170" formatCode="#0.00\ &quot;VEM/an&quot;"/>
    <numFmt numFmtId="171" formatCode="#0.00\ &quot;g de DVE/an&quot;"/>
    <numFmt numFmtId="172" formatCode="#0.00\ &quot;Bêtes&quot;"/>
    <numFmt numFmtId="173" formatCode="#0\ &quot;Bêtes&quot;"/>
    <numFmt numFmtId="174" formatCode="#0.00\ &quot;€/T&quot;"/>
    <numFmt numFmtId="175" formatCode="#,##0.00\ &quot;€&quot;"/>
    <numFmt numFmtId="176" formatCode="#0.00\ &quot;T de MS&quot;"/>
    <numFmt numFmtId="177" formatCode="#0.00\ &quot;VEM/T de MS&quot;"/>
    <numFmt numFmtId="178" formatCode="#0.00\ &quot;Kg de DVE/T de MS&quot;"/>
    <numFmt numFmtId="179" formatCode="#0.00\ &quot;Kg de DVE&quot;"/>
    <numFmt numFmtId="180" formatCode="#0.00\ &quot;T de MF&quot;"/>
    <numFmt numFmtId="181" formatCode="#0.00\ &quot;T/Ha&quot;"/>
    <numFmt numFmtId="182" formatCode="#0.00\ &quot;€/Ha&quot;"/>
    <numFmt numFmtId="183" formatCode="#0.00\ &quot;€/T MS&quot;"/>
    <numFmt numFmtId="184" formatCode="#0.00\ &quot;T MS/Ha&quot;"/>
    <numFmt numFmtId="185" formatCode="#0.00\ &quot;Kg&quot;"/>
    <numFmt numFmtId="186" formatCode="#0.00\ &quot;€/an&quot;"/>
    <numFmt numFmtId="187" formatCode="#0.00\ &quot;€/Kg&quot;"/>
    <numFmt numFmtId="188" formatCode="#0.00\ &quot;g de DVE&quot;"/>
    <numFmt numFmtId="189" formatCode="#0.00\ &quot;UGB/Ha&quot;"/>
    <numFmt numFmtId="190" formatCode="#0.00\ &quot;VEM Totaux&quot;"/>
    <numFmt numFmtId="191" formatCode="#0.00\ &quot;Kg de DVE Totaux&quot;"/>
    <numFmt numFmtId="192" formatCode="#0.00\ &quot;L&quot;"/>
    <numFmt numFmtId="193" formatCode="0.00&quot;%&quot;"/>
    <numFmt numFmtId="194" formatCode="#0.00\ &quot;g de DVE/kg de MS&quot;"/>
    <numFmt numFmtId="195" formatCode="#0.00\ &quot;VEM/kg de MS&quot;"/>
  </numFmts>
  <fonts count="38" x14ac:knownFonts="1">
    <font>
      <sz val="11"/>
      <color theme="1"/>
      <name val="Calibri"/>
      <family val="2"/>
      <scheme val="minor"/>
    </font>
    <font>
      <b/>
      <sz val="16"/>
      <color theme="1"/>
      <name val="Calibri"/>
      <family val="2"/>
      <scheme val="minor"/>
    </font>
    <font>
      <sz val="12"/>
      <color theme="1"/>
      <name val="Calibri"/>
      <family val="2"/>
      <scheme val="minor"/>
    </font>
    <font>
      <b/>
      <sz val="20"/>
      <color rgb="FFFF0000"/>
      <name val="Calibri"/>
      <family val="2"/>
      <scheme val="minor"/>
    </font>
    <font>
      <b/>
      <sz val="20"/>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sz val="14"/>
      <name val="Calibri"/>
      <family val="2"/>
      <scheme val="minor"/>
    </font>
    <font>
      <sz val="20"/>
      <color rgb="FFFF0000"/>
      <name val="Calibri"/>
      <family val="2"/>
      <scheme val="minor"/>
    </font>
    <font>
      <b/>
      <sz val="20"/>
      <name val="Calibri"/>
      <family val="2"/>
      <scheme val="minor"/>
    </font>
    <font>
      <b/>
      <sz val="16"/>
      <name val="Calibri"/>
      <family val="2"/>
      <scheme val="minor"/>
    </font>
    <font>
      <sz val="9"/>
      <color indexed="81"/>
      <name val="Tahoma"/>
      <family val="2"/>
    </font>
    <font>
      <b/>
      <sz val="12"/>
      <color indexed="81"/>
      <name val="Tahoma"/>
      <family val="2"/>
    </font>
    <font>
      <sz val="12"/>
      <color indexed="81"/>
      <name val="Tahoma"/>
      <family val="2"/>
    </font>
    <font>
      <b/>
      <sz val="14"/>
      <name val="Calibri"/>
      <family val="2"/>
      <scheme val="minor"/>
    </font>
    <font>
      <b/>
      <sz val="12"/>
      <color theme="1"/>
      <name val="Calibri"/>
      <family val="2"/>
      <scheme val="minor"/>
    </font>
    <font>
      <sz val="12"/>
      <color theme="9" tint="-0.499984740745262"/>
      <name val="Calibri"/>
      <family val="2"/>
      <scheme val="minor"/>
    </font>
    <font>
      <b/>
      <sz val="30"/>
      <color rgb="FFFF0000"/>
      <name val="Calibri"/>
      <family val="2"/>
      <scheme val="minor"/>
    </font>
    <font>
      <b/>
      <sz val="20"/>
      <color rgb="FFC00000"/>
      <name val="Calibri"/>
      <family val="2"/>
      <scheme val="minor"/>
    </font>
    <font>
      <sz val="12.5"/>
      <color theme="1"/>
      <name val="Calibri"/>
      <family val="2"/>
      <scheme val="minor"/>
    </font>
    <font>
      <sz val="16"/>
      <color theme="1"/>
      <name val="Calibri"/>
      <family val="2"/>
      <scheme val="minor"/>
    </font>
    <font>
      <sz val="11"/>
      <color theme="0"/>
      <name val="Calibri"/>
      <family val="2"/>
      <scheme val="minor"/>
    </font>
    <font>
      <b/>
      <sz val="16"/>
      <color theme="0"/>
      <name val="Calibri"/>
      <family val="2"/>
      <scheme val="minor"/>
    </font>
    <font>
      <b/>
      <sz val="20"/>
      <color theme="0"/>
      <name val="Calibri"/>
      <family val="2"/>
      <scheme val="minor"/>
    </font>
    <font>
      <sz val="20"/>
      <color theme="0"/>
      <name val="Calibri"/>
      <family val="2"/>
      <scheme val="minor"/>
    </font>
    <font>
      <sz val="16"/>
      <name val="Calibri"/>
      <family val="2"/>
      <scheme val="minor"/>
    </font>
    <font>
      <b/>
      <sz val="18"/>
      <color rgb="FFC00000"/>
      <name val="Calibri"/>
      <family val="2"/>
      <scheme val="minor"/>
    </font>
    <font>
      <sz val="11"/>
      <name val="Calibri"/>
      <family val="2"/>
      <scheme val="minor"/>
    </font>
    <font>
      <b/>
      <sz val="26"/>
      <color rgb="FFC00000"/>
      <name val="Calibri"/>
      <family val="2"/>
      <scheme val="minor"/>
    </font>
    <font>
      <b/>
      <sz val="18"/>
      <color theme="1"/>
      <name val="Calibri"/>
      <family val="2"/>
      <scheme val="minor"/>
    </font>
    <font>
      <sz val="14"/>
      <color rgb="FFC00000"/>
      <name val="Calibri"/>
      <family val="2"/>
      <scheme val="minor"/>
    </font>
    <font>
      <b/>
      <sz val="14"/>
      <color rgb="FF000000"/>
      <name val="Calibri"/>
      <family val="2"/>
      <scheme val="minor"/>
    </font>
    <font>
      <sz val="11"/>
      <color theme="1"/>
      <name val="Calibri"/>
      <family val="2"/>
    </font>
    <font>
      <u/>
      <sz val="14"/>
      <color theme="9"/>
      <name val="Calibri"/>
      <family val="2"/>
      <scheme val="minor"/>
    </font>
    <font>
      <u/>
      <sz val="14"/>
      <color rgb="FF02BBE0"/>
      <name val="Calibri"/>
      <family val="2"/>
      <scheme val="minor"/>
    </font>
    <font>
      <u/>
      <sz val="14"/>
      <color rgb="FFFF0000"/>
      <name val="Calibri"/>
      <family val="2"/>
      <scheme val="minor"/>
    </font>
    <font>
      <u/>
      <sz val="14"/>
      <color theme="1"/>
      <name val="Calibri"/>
      <family val="2"/>
      <scheme val="minor"/>
    </font>
  </fonts>
  <fills count="10">
    <fill>
      <patternFill patternType="none"/>
    </fill>
    <fill>
      <patternFill patternType="gray125"/>
    </fill>
    <fill>
      <patternFill patternType="solid">
        <fgColor rgb="FFC2E49C"/>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622C0A"/>
        <bgColor indexed="64"/>
      </patternFill>
    </fill>
    <fill>
      <patternFill patternType="solid">
        <fgColor rgb="FFF0AC62"/>
        <bgColor indexed="64"/>
      </patternFill>
    </fill>
    <fill>
      <patternFill patternType="solid">
        <fgColor theme="4" tint="0.7999816888943144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medium">
        <color indexed="64"/>
      </top>
      <bottom style="medium">
        <color indexed="64"/>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medium">
        <color indexed="64"/>
      </bottom>
      <diagonal/>
    </border>
    <border>
      <left style="thin">
        <color auto="1"/>
      </left>
      <right/>
      <top/>
      <bottom/>
      <diagonal/>
    </border>
    <border>
      <left/>
      <right style="medium">
        <color indexed="64"/>
      </right>
      <top/>
      <bottom style="medium">
        <color indexed="64"/>
      </bottom>
      <diagonal/>
    </border>
    <border>
      <left/>
      <right style="thin">
        <color auto="1"/>
      </right>
      <top/>
      <bottom/>
      <diagonal/>
    </border>
    <border>
      <left/>
      <right/>
      <top/>
      <bottom style="medium">
        <color indexed="64"/>
      </bottom>
      <diagonal/>
    </border>
    <border>
      <left style="medium">
        <color indexed="64"/>
      </left>
      <right/>
      <top style="medium">
        <color indexed="64"/>
      </top>
      <bottom/>
      <diagonal/>
    </border>
    <border>
      <left style="thin">
        <color auto="1"/>
      </left>
      <right style="thin">
        <color auto="1"/>
      </right>
      <top/>
      <bottom/>
      <diagonal/>
    </border>
    <border>
      <left/>
      <right style="thin">
        <color auto="1"/>
      </right>
      <top style="thin">
        <color auto="1"/>
      </top>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medium">
        <color indexed="64"/>
      </right>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diagonal/>
    </border>
    <border>
      <left style="thin">
        <color auto="1"/>
      </left>
      <right/>
      <top style="thin">
        <color auto="1"/>
      </top>
      <bottom/>
      <diagonal/>
    </border>
    <border>
      <left style="medium">
        <color indexed="64"/>
      </left>
      <right/>
      <top/>
      <bottom style="thin">
        <color auto="1"/>
      </bottom>
      <diagonal/>
    </border>
    <border>
      <left/>
      <right/>
      <top style="medium">
        <color indexed="64"/>
      </top>
      <bottom style="thin">
        <color auto="1"/>
      </bottom>
      <diagonal/>
    </border>
    <border>
      <left/>
      <right/>
      <top style="thin">
        <color auto="1"/>
      </top>
      <bottom style="medium">
        <color indexed="64"/>
      </bottom>
      <diagonal/>
    </border>
    <border>
      <left style="medium">
        <color indexed="64"/>
      </left>
      <right style="thin">
        <color auto="1"/>
      </right>
      <top/>
      <bottom/>
      <diagonal/>
    </border>
    <border>
      <left style="medium">
        <color indexed="64"/>
      </left>
      <right style="medium">
        <color indexed="64"/>
      </right>
      <top/>
      <bottom/>
      <diagonal/>
    </border>
    <border>
      <left style="thin">
        <color auto="1"/>
      </left>
      <right style="medium">
        <color indexed="64"/>
      </right>
      <top style="medium">
        <color indexed="64"/>
      </top>
      <bottom/>
      <diagonal/>
    </border>
    <border>
      <left style="medium">
        <color indexed="64"/>
      </left>
      <right style="thin">
        <color auto="1"/>
      </right>
      <top style="thin">
        <color theme="4" tint="0.39997558519241921"/>
      </top>
      <bottom style="thin">
        <color auto="1"/>
      </bottom>
      <diagonal/>
    </border>
    <border>
      <left style="thin">
        <color auto="1"/>
      </left>
      <right style="medium">
        <color indexed="64"/>
      </right>
      <top style="thin">
        <color theme="4" tint="0.39997558519241921"/>
      </top>
      <bottom style="thin">
        <color auto="1"/>
      </bottom>
      <diagonal/>
    </border>
    <border>
      <left style="medium">
        <color indexed="64"/>
      </left>
      <right style="thin">
        <color auto="1"/>
      </right>
      <top style="thin">
        <color auto="1"/>
      </top>
      <bottom style="thin">
        <color theme="4" tint="0.39997558519241921"/>
      </bottom>
      <diagonal/>
    </border>
    <border>
      <left style="thin">
        <color auto="1"/>
      </left>
      <right style="medium">
        <color indexed="64"/>
      </right>
      <top style="thin">
        <color auto="1"/>
      </top>
      <bottom style="thin">
        <color theme="4" tint="0.39997558519241921"/>
      </bottom>
      <diagonal/>
    </border>
    <border>
      <left/>
      <right style="thin">
        <color auto="1"/>
      </right>
      <top style="thin">
        <color auto="1"/>
      </top>
      <bottom style="medium">
        <color indexed="64"/>
      </bottom>
      <diagonal/>
    </border>
  </borders>
  <cellStyleXfs count="2">
    <xf numFmtId="0" fontId="0" fillId="0" borderId="0"/>
    <xf numFmtId="9" fontId="6" fillId="0" borderId="0" applyFont="0" applyFill="0" applyBorder="0" applyAlignment="0" applyProtection="0"/>
  </cellStyleXfs>
  <cellXfs count="574">
    <xf numFmtId="0" fontId="0" fillId="0" borderId="0" xfId="0"/>
    <xf numFmtId="0" fontId="3" fillId="0" borderId="0" xfId="0" applyFont="1" applyBorder="1" applyAlignment="1">
      <alignment horizontal="center"/>
    </xf>
    <xf numFmtId="0" fontId="3" fillId="0" borderId="0" xfId="0" applyNumberFormat="1" applyFont="1" applyBorder="1" applyAlignment="1">
      <alignment horizontal="center"/>
    </xf>
    <xf numFmtId="0" fontId="0" fillId="0" borderId="0" xfId="0"/>
    <xf numFmtId="0" fontId="0" fillId="0" borderId="0" xfId="0" applyFont="1" applyFill="1" applyBorder="1"/>
    <xf numFmtId="0" fontId="0" fillId="0" borderId="0" xfId="0"/>
    <xf numFmtId="0" fontId="0" fillId="0" borderId="0" xfId="0" applyFill="1" applyBorder="1"/>
    <xf numFmtId="0" fontId="0" fillId="0" borderId="0" xfId="0" applyFill="1" applyBorder="1" applyAlignment="1">
      <alignment horizontal="center"/>
    </xf>
    <xf numFmtId="0" fontId="9" fillId="0" borderId="0" xfId="0" applyFont="1" applyBorder="1" applyAlignment="1">
      <alignment horizontal="center"/>
    </xf>
    <xf numFmtId="0" fontId="5" fillId="0" borderId="13" xfId="0" applyFont="1" applyBorder="1" applyAlignment="1">
      <alignment horizontal="left"/>
    </xf>
    <xf numFmtId="0" fontId="15" fillId="0" borderId="9" xfId="0" applyFont="1" applyBorder="1" applyAlignment="1">
      <alignment horizontal="left"/>
    </xf>
    <xf numFmtId="0" fontId="5" fillId="0" borderId="11" xfId="0" applyFont="1" applyBorder="1" applyAlignment="1">
      <alignment horizontal="left"/>
    </xf>
    <xf numFmtId="0" fontId="0" fillId="0" borderId="0" xfId="0" applyAlignment="1">
      <alignment wrapText="1"/>
    </xf>
    <xf numFmtId="0" fontId="0" fillId="0" borderId="7" xfId="0" applyBorder="1"/>
    <xf numFmtId="0" fontId="0" fillId="0" borderId="0" xfId="0" applyBorder="1"/>
    <xf numFmtId="0" fontId="4" fillId="0" borderId="0" xfId="0" applyFont="1" applyFill="1" applyBorder="1" applyAlignment="1">
      <alignment horizontal="center"/>
    </xf>
    <xf numFmtId="0" fontId="7" fillId="0" borderId="19" xfId="0" applyFont="1" applyBorder="1"/>
    <xf numFmtId="0" fontId="18" fillId="0" borderId="0" xfId="0" applyFont="1" applyBorder="1" applyAlignment="1">
      <alignment horizontal="center"/>
    </xf>
    <xf numFmtId="0" fontId="1" fillId="0" borderId="0" xfId="0" applyFont="1" applyFill="1" applyBorder="1"/>
    <xf numFmtId="186" fontId="1" fillId="0" borderId="0" xfId="0" applyNumberFormat="1" applyFont="1" applyFill="1" applyBorder="1" applyAlignment="1">
      <alignment horizontal="center"/>
    </xf>
    <xf numFmtId="0" fontId="0" fillId="0" borderId="0" xfId="0"/>
    <xf numFmtId="0" fontId="0" fillId="0" borderId="0" xfId="0" applyBorder="1" applyAlignment="1"/>
    <xf numFmtId="0" fontId="0" fillId="0" borderId="55" xfId="0" applyBorder="1"/>
    <xf numFmtId="0" fontId="0" fillId="0" borderId="59" xfId="0" applyBorder="1"/>
    <xf numFmtId="0" fontId="7" fillId="0" borderId="11" xfId="0" applyFont="1" applyBorder="1" applyAlignment="1">
      <alignment horizontal="left" vertical="center"/>
    </xf>
    <xf numFmtId="0" fontId="7" fillId="0" borderId="13" xfId="0" applyFont="1" applyFill="1" applyBorder="1" applyAlignment="1">
      <alignment horizontal="left" vertical="center"/>
    </xf>
    <xf numFmtId="0" fontId="16" fillId="5" borderId="11" xfId="0" applyFont="1" applyFill="1" applyBorder="1" applyAlignment="1">
      <alignment horizontal="left" vertical="center"/>
    </xf>
    <xf numFmtId="181" fontId="2" fillId="2" borderId="63" xfId="0" applyNumberFormat="1" applyFont="1" applyFill="1" applyBorder="1" applyAlignment="1" applyProtection="1">
      <alignment horizontal="left" vertical="center"/>
      <protection locked="0"/>
    </xf>
    <xf numFmtId="165" fontId="2" fillId="3" borderId="48" xfId="0" applyNumberFormat="1" applyFont="1" applyFill="1" applyBorder="1" applyAlignment="1">
      <alignment horizontal="left" vertical="center"/>
    </xf>
    <xf numFmtId="10" fontId="2" fillId="2" borderId="52" xfId="1" applyNumberFormat="1" applyFont="1" applyFill="1" applyBorder="1" applyAlignment="1" applyProtection="1">
      <alignment horizontal="left" vertical="center"/>
      <protection locked="0"/>
    </xf>
    <xf numFmtId="165" fontId="2" fillId="3" borderId="56" xfId="0" applyNumberFormat="1" applyFont="1" applyFill="1" applyBorder="1" applyAlignment="1">
      <alignment horizontal="left" vertical="center"/>
    </xf>
    <xf numFmtId="0" fontId="2" fillId="5" borderId="11" xfId="0" applyFont="1" applyFill="1" applyBorder="1" applyAlignment="1">
      <alignment horizontal="left" vertical="center"/>
    </xf>
    <xf numFmtId="181" fontId="2" fillId="2" borderId="1" xfId="0" applyNumberFormat="1" applyFont="1" applyFill="1" applyBorder="1" applyAlignment="1" applyProtection="1">
      <alignment horizontal="left" vertical="center"/>
      <protection locked="0"/>
    </xf>
    <xf numFmtId="165" fontId="2" fillId="3" borderId="45" xfId="0" applyNumberFormat="1" applyFont="1" applyFill="1" applyBorder="1" applyAlignment="1">
      <alignment horizontal="left" vertical="center"/>
    </xf>
    <xf numFmtId="10" fontId="2" fillId="2" borderId="42" xfId="1" applyNumberFormat="1" applyFont="1" applyFill="1" applyBorder="1" applyAlignment="1" applyProtection="1">
      <alignment horizontal="left" vertical="center"/>
      <protection locked="0"/>
    </xf>
    <xf numFmtId="165" fontId="2" fillId="3" borderId="42" xfId="0" applyNumberFormat="1" applyFont="1" applyFill="1" applyBorder="1" applyAlignment="1">
      <alignment horizontal="left" vertical="center"/>
    </xf>
    <xf numFmtId="0" fontId="2" fillId="5" borderId="15" xfId="0" applyFont="1" applyFill="1" applyBorder="1" applyAlignment="1">
      <alignment horizontal="left" vertical="center"/>
    </xf>
    <xf numFmtId="181" fontId="2" fillId="2" borderId="47" xfId="0" applyNumberFormat="1" applyFont="1" applyFill="1" applyBorder="1" applyAlignment="1" applyProtection="1">
      <alignment horizontal="left" vertical="center"/>
      <protection locked="0"/>
    </xf>
    <xf numFmtId="10" fontId="2" fillId="2" borderId="22" xfId="1" applyNumberFormat="1" applyFont="1" applyFill="1" applyBorder="1" applyAlignment="1" applyProtection="1">
      <alignment horizontal="left" vertical="center"/>
      <protection locked="0"/>
    </xf>
    <xf numFmtId="165" fontId="2" fillId="3" borderId="57" xfId="0" applyNumberFormat="1" applyFont="1" applyFill="1" applyBorder="1" applyAlignment="1">
      <alignment horizontal="left" vertical="center"/>
    </xf>
    <xf numFmtId="0" fontId="16" fillId="5" borderId="42" xfId="0" applyFont="1" applyFill="1" applyBorder="1" applyAlignment="1">
      <alignment horizontal="left" vertical="center"/>
    </xf>
    <xf numFmtId="181" fontId="2" fillId="2" borderId="24" xfId="0" applyNumberFormat="1" applyFont="1" applyFill="1" applyBorder="1" applyAlignment="1" applyProtection="1">
      <alignment horizontal="left" vertical="center"/>
      <protection locked="0"/>
    </xf>
    <xf numFmtId="165" fontId="2" fillId="3" borderId="70" xfId="0" applyNumberFormat="1" applyFont="1" applyFill="1" applyBorder="1" applyAlignment="1">
      <alignment horizontal="left" vertical="center"/>
    </xf>
    <xf numFmtId="10" fontId="2" fillId="2" borderId="56" xfId="1" applyNumberFormat="1" applyFont="1" applyFill="1" applyBorder="1" applyAlignment="1" applyProtection="1">
      <alignment horizontal="left" vertical="center"/>
      <protection locked="0"/>
    </xf>
    <xf numFmtId="165" fontId="2" fillId="3" borderId="65" xfId="0" applyNumberFormat="1" applyFont="1" applyFill="1" applyBorder="1" applyAlignment="1">
      <alignment horizontal="left" vertical="center"/>
    </xf>
    <xf numFmtId="0" fontId="2" fillId="5" borderId="42" xfId="0" applyFont="1" applyFill="1" applyBorder="1" applyAlignment="1">
      <alignment horizontal="left" vertical="center"/>
    </xf>
    <xf numFmtId="165" fontId="2" fillId="3" borderId="38" xfId="0" applyNumberFormat="1" applyFont="1" applyFill="1" applyBorder="1" applyAlignment="1">
      <alignment horizontal="left" vertical="center"/>
    </xf>
    <xf numFmtId="165" fontId="2" fillId="3" borderId="35" xfId="0" applyNumberFormat="1" applyFont="1" applyFill="1" applyBorder="1" applyAlignment="1">
      <alignment horizontal="left" vertical="center"/>
    </xf>
    <xf numFmtId="0" fontId="2" fillId="5" borderId="13" xfId="0" applyFont="1" applyFill="1" applyBorder="1" applyAlignment="1">
      <alignment horizontal="left" vertical="center"/>
    </xf>
    <xf numFmtId="181" fontId="2" fillId="2" borderId="3" xfId="0" applyNumberFormat="1" applyFont="1" applyFill="1" applyBorder="1" applyAlignment="1" applyProtection="1">
      <alignment horizontal="left" vertical="center"/>
      <protection locked="0"/>
    </xf>
    <xf numFmtId="165" fontId="2" fillId="3" borderId="39" xfId="0" applyNumberFormat="1" applyFont="1" applyFill="1" applyBorder="1" applyAlignment="1">
      <alignment horizontal="left" vertical="center"/>
    </xf>
    <xf numFmtId="10" fontId="2" fillId="2" borderId="57" xfId="1" applyNumberFormat="1" applyFont="1" applyFill="1" applyBorder="1" applyAlignment="1" applyProtection="1">
      <alignment horizontal="left" vertical="center"/>
      <protection locked="0"/>
    </xf>
    <xf numFmtId="165" fontId="2" fillId="3" borderId="36" xfId="0" applyNumberFormat="1" applyFont="1" applyFill="1" applyBorder="1" applyAlignment="1">
      <alignment horizontal="left" vertical="center"/>
    </xf>
    <xf numFmtId="0" fontId="16" fillId="5" borderId="9" xfId="0" applyFont="1" applyFill="1" applyBorder="1" applyAlignment="1">
      <alignment horizontal="left" vertical="center"/>
    </xf>
    <xf numFmtId="165" fontId="2" fillId="3" borderId="33" xfId="0" applyNumberFormat="1" applyFont="1" applyFill="1" applyBorder="1" applyAlignment="1">
      <alignment horizontal="left" vertical="center"/>
    </xf>
    <xf numFmtId="165" fontId="2" fillId="3" borderId="71" xfId="0" applyNumberFormat="1" applyFont="1" applyFill="1" applyBorder="1" applyAlignment="1">
      <alignment horizontal="left" vertical="center"/>
    </xf>
    <xf numFmtId="165" fontId="2" fillId="3" borderId="37" xfId="0" applyNumberFormat="1" applyFont="1" applyFill="1" applyBorder="1" applyAlignment="1">
      <alignment horizontal="left" vertical="center"/>
    </xf>
    <xf numFmtId="10" fontId="2" fillId="2" borderId="69" xfId="1" applyNumberFormat="1" applyFont="1" applyFill="1" applyBorder="1" applyAlignment="1" applyProtection="1">
      <alignment horizontal="left" vertical="center"/>
      <protection locked="0"/>
    </xf>
    <xf numFmtId="165" fontId="2" fillId="3" borderId="61" xfId="0" applyNumberFormat="1" applyFont="1" applyFill="1" applyBorder="1" applyAlignment="1">
      <alignment horizontal="left" vertical="center"/>
    </xf>
    <xf numFmtId="10" fontId="2" fillId="2" borderId="33" xfId="1" applyNumberFormat="1" applyFont="1" applyFill="1" applyBorder="1" applyAlignment="1" applyProtection="1">
      <alignment horizontal="left" vertical="center"/>
      <protection locked="0"/>
    </xf>
    <xf numFmtId="165" fontId="2" fillId="3" borderId="46" xfId="0" applyNumberFormat="1" applyFont="1" applyFill="1" applyBorder="1" applyAlignment="1">
      <alignment horizontal="left" vertical="center"/>
    </xf>
    <xf numFmtId="10" fontId="2" fillId="2" borderId="36" xfId="1" applyNumberFormat="1" applyFont="1" applyFill="1" applyBorder="1" applyAlignment="1" applyProtection="1">
      <alignment horizontal="left" vertical="center"/>
      <protection locked="0"/>
    </xf>
    <xf numFmtId="181" fontId="2" fillId="2" borderId="61" xfId="0" applyNumberFormat="1" applyFont="1" applyFill="1" applyBorder="1" applyAlignment="1" applyProtection="1">
      <alignment horizontal="left" vertical="center"/>
      <protection locked="0"/>
    </xf>
    <xf numFmtId="10" fontId="2" fillId="2" borderId="65" xfId="1" applyNumberFormat="1" applyFont="1" applyFill="1" applyBorder="1" applyAlignment="1" applyProtection="1">
      <alignment horizontal="left" vertical="center"/>
      <protection locked="0"/>
    </xf>
    <xf numFmtId="181" fontId="2" fillId="2" borderId="46" xfId="0" applyNumberFormat="1" applyFont="1" applyFill="1" applyBorder="1" applyAlignment="1" applyProtection="1">
      <alignment horizontal="left" vertical="center"/>
      <protection locked="0"/>
    </xf>
    <xf numFmtId="10" fontId="2" fillId="2" borderId="27" xfId="1" applyNumberFormat="1" applyFont="1" applyFill="1" applyBorder="1" applyAlignment="1" applyProtection="1">
      <alignment horizontal="left" vertical="center"/>
      <protection locked="0"/>
    </xf>
    <xf numFmtId="165" fontId="2" fillId="3" borderId="27" xfId="0" applyNumberFormat="1" applyFont="1" applyFill="1" applyBorder="1" applyAlignment="1">
      <alignment horizontal="left" vertical="center"/>
    </xf>
    <xf numFmtId="181" fontId="2" fillId="2" borderId="5" xfId="0" applyNumberFormat="1" applyFont="1" applyFill="1" applyBorder="1" applyAlignment="1" applyProtection="1">
      <alignment horizontal="left" vertical="center"/>
      <protection locked="0"/>
    </xf>
    <xf numFmtId="10" fontId="2" fillId="2" borderId="35" xfId="1" applyNumberFormat="1" applyFont="1" applyFill="1" applyBorder="1" applyAlignment="1" applyProtection="1">
      <alignment horizontal="left" vertical="center"/>
      <protection locked="0"/>
    </xf>
    <xf numFmtId="0" fontId="16" fillId="5" borderId="26" xfId="0" applyFont="1" applyFill="1" applyBorder="1" applyAlignment="1">
      <alignment horizontal="left" vertical="center"/>
    </xf>
    <xf numFmtId="165" fontId="2" fillId="3" borderId="69" xfId="0" applyNumberFormat="1" applyFont="1" applyFill="1" applyBorder="1" applyAlignment="1">
      <alignment horizontal="left" vertical="center"/>
    </xf>
    <xf numFmtId="181" fontId="2" fillId="2" borderId="45" xfId="0" applyNumberFormat="1" applyFont="1" applyFill="1" applyBorder="1" applyAlignment="1" applyProtection="1">
      <alignment horizontal="left" vertical="center"/>
      <protection locked="0"/>
    </xf>
    <xf numFmtId="165" fontId="2" fillId="3" borderId="66" xfId="0" applyNumberFormat="1" applyFont="1" applyFill="1" applyBorder="1" applyAlignment="1">
      <alignment horizontal="left" vertical="center"/>
    </xf>
    <xf numFmtId="181" fontId="2" fillId="2" borderId="44" xfId="0" applyNumberFormat="1" applyFont="1" applyFill="1" applyBorder="1" applyAlignment="1" applyProtection="1">
      <alignment horizontal="left" vertical="center"/>
      <protection locked="0"/>
    </xf>
    <xf numFmtId="0" fontId="2" fillId="5" borderId="17" xfId="0" applyFont="1" applyFill="1" applyBorder="1" applyAlignment="1">
      <alignment horizontal="left" vertical="center"/>
    </xf>
    <xf numFmtId="165" fontId="2" fillId="3" borderId="52" xfId="0" applyNumberFormat="1" applyFont="1" applyFill="1" applyBorder="1" applyAlignment="1">
      <alignment horizontal="left" vertical="center"/>
    </xf>
    <xf numFmtId="165" fontId="2" fillId="3" borderId="22" xfId="0" applyNumberFormat="1" applyFont="1" applyFill="1" applyBorder="1" applyAlignment="1">
      <alignment horizontal="left" vertical="center"/>
    </xf>
    <xf numFmtId="181" fontId="2" fillId="2" borderId="68" xfId="0" applyNumberFormat="1" applyFont="1" applyFill="1" applyBorder="1" applyAlignment="1" applyProtection="1">
      <alignment horizontal="left" vertical="center"/>
      <protection locked="0"/>
    </xf>
    <xf numFmtId="165" fontId="2" fillId="3" borderId="55" xfId="0" applyNumberFormat="1" applyFont="1" applyFill="1" applyBorder="1" applyAlignment="1">
      <alignment horizontal="left" vertical="center"/>
    </xf>
    <xf numFmtId="10" fontId="2" fillId="2" borderId="66" xfId="1" applyNumberFormat="1" applyFont="1" applyFill="1" applyBorder="1" applyAlignment="1" applyProtection="1">
      <alignment horizontal="left" vertical="center"/>
      <protection locked="0"/>
    </xf>
    <xf numFmtId="165" fontId="2" fillId="3" borderId="67" xfId="0" applyNumberFormat="1" applyFont="1" applyFill="1" applyBorder="1" applyAlignment="1">
      <alignment horizontal="left" vertical="center"/>
    </xf>
    <xf numFmtId="164" fontId="2" fillId="2" borderId="64" xfId="0" applyNumberFormat="1" applyFont="1" applyFill="1" applyBorder="1" applyAlignment="1" applyProtection="1">
      <alignment horizontal="left" vertical="center"/>
      <protection locked="0"/>
    </xf>
    <xf numFmtId="164" fontId="2" fillId="2" borderId="1" xfId="0" applyNumberFormat="1" applyFont="1" applyFill="1" applyBorder="1" applyAlignment="1" applyProtection="1">
      <alignment horizontal="left" vertical="center"/>
      <protection locked="0"/>
    </xf>
    <xf numFmtId="164" fontId="2" fillId="2" borderId="47" xfId="0" applyNumberFormat="1" applyFont="1" applyFill="1" applyBorder="1" applyAlignment="1" applyProtection="1">
      <alignment horizontal="left" vertical="center"/>
      <protection locked="0"/>
    </xf>
    <xf numFmtId="164" fontId="2" fillId="3" borderId="3" xfId="0" applyNumberFormat="1" applyFont="1" applyFill="1" applyBorder="1" applyAlignment="1" applyProtection="1">
      <alignment horizontal="left" vertical="center"/>
    </xf>
    <xf numFmtId="164" fontId="2" fillId="2" borderId="24" xfId="0" applyNumberFormat="1" applyFont="1" applyFill="1" applyBorder="1" applyAlignment="1" applyProtection="1">
      <alignment horizontal="left" vertical="center"/>
      <protection locked="0"/>
    </xf>
    <xf numFmtId="164" fontId="2" fillId="3" borderId="46" xfId="0" applyNumberFormat="1" applyFont="1" applyFill="1" applyBorder="1" applyAlignment="1" applyProtection="1">
      <alignment horizontal="left" vertical="center"/>
    </xf>
    <xf numFmtId="164" fontId="2" fillId="3" borderId="47" xfId="0" applyNumberFormat="1" applyFont="1" applyFill="1" applyBorder="1" applyAlignment="1" applyProtection="1">
      <alignment horizontal="left" vertical="center"/>
    </xf>
    <xf numFmtId="164" fontId="2" fillId="2" borderId="5" xfId="0" applyNumberFormat="1" applyFont="1" applyFill="1" applyBorder="1" applyAlignment="1" applyProtection="1">
      <alignment horizontal="left" vertical="center"/>
      <protection locked="0"/>
    </xf>
    <xf numFmtId="164" fontId="2" fillId="2" borderId="3" xfId="0" applyNumberFormat="1" applyFont="1" applyFill="1" applyBorder="1" applyAlignment="1" applyProtection="1">
      <alignment horizontal="left" vertical="center"/>
      <protection locked="0"/>
    </xf>
    <xf numFmtId="164" fontId="2" fillId="2" borderId="48" xfId="0" applyNumberFormat="1" applyFont="1" applyFill="1" applyBorder="1" applyAlignment="1" applyProtection="1">
      <alignment horizontal="left" vertical="center"/>
      <protection locked="0"/>
    </xf>
    <xf numFmtId="164" fontId="2" fillId="2" borderId="44" xfId="0" applyNumberFormat="1"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164" fontId="7" fillId="2" borderId="12" xfId="0" applyNumberFormat="1" applyFont="1" applyFill="1" applyBorder="1" applyAlignment="1" applyProtection="1">
      <alignment horizontal="left" vertical="center"/>
      <protection locked="0"/>
    </xf>
    <xf numFmtId="164" fontId="7" fillId="2" borderId="18" xfId="0" applyNumberFormat="1" applyFont="1" applyFill="1" applyBorder="1" applyAlignment="1" applyProtection="1">
      <alignment horizontal="left" vertical="center"/>
      <protection locked="0"/>
    </xf>
    <xf numFmtId="166" fontId="7" fillId="3" borderId="63" xfId="0" applyNumberFormat="1" applyFont="1" applyFill="1" applyBorder="1" applyAlignment="1">
      <alignment horizontal="left"/>
    </xf>
    <xf numFmtId="164" fontId="7" fillId="2" borderId="1" xfId="0" applyNumberFormat="1" applyFont="1" applyFill="1" applyBorder="1" applyAlignment="1" applyProtection="1">
      <alignment horizontal="left" vertical="center"/>
      <protection locked="0"/>
    </xf>
    <xf numFmtId="184" fontId="7" fillId="2" borderId="1" xfId="0" applyNumberFormat="1" applyFont="1" applyFill="1" applyBorder="1" applyAlignment="1" applyProtection="1">
      <alignment horizontal="left" vertical="center"/>
      <protection locked="0"/>
    </xf>
    <xf numFmtId="179" fontId="7" fillId="3" borderId="74" xfId="0" applyNumberFormat="1" applyFont="1" applyFill="1" applyBorder="1" applyAlignment="1">
      <alignment horizontal="left"/>
    </xf>
    <xf numFmtId="179" fontId="7" fillId="3" borderId="12" xfId="0" applyNumberFormat="1" applyFont="1" applyFill="1" applyBorder="1" applyAlignment="1">
      <alignment horizontal="left"/>
    </xf>
    <xf numFmtId="179" fontId="7" fillId="3" borderId="25" xfId="0" applyNumberFormat="1" applyFont="1" applyFill="1" applyBorder="1" applyAlignment="1">
      <alignment horizontal="left"/>
    </xf>
    <xf numFmtId="0" fontId="8" fillId="6" borderId="11" xfId="0" applyFont="1" applyFill="1" applyBorder="1" applyAlignment="1">
      <alignment horizontal="left" vertical="center"/>
    </xf>
    <xf numFmtId="165" fontId="8" fillId="3" borderId="1" xfId="0" applyNumberFormat="1" applyFont="1" applyFill="1" applyBorder="1" applyAlignment="1">
      <alignment horizontal="left" vertical="center"/>
    </xf>
    <xf numFmtId="165" fontId="8" fillId="3" borderId="12" xfId="0" applyNumberFormat="1" applyFont="1" applyFill="1" applyBorder="1" applyAlignment="1">
      <alignment horizontal="left" vertical="center"/>
    </xf>
    <xf numFmtId="0" fontId="7" fillId="6" borderId="11" xfId="0" applyFont="1" applyFill="1" applyBorder="1" applyAlignment="1">
      <alignment horizontal="left" vertical="center"/>
    </xf>
    <xf numFmtId="165" fontId="7" fillId="3" borderId="1" xfId="0" applyNumberFormat="1" applyFont="1" applyFill="1" applyBorder="1" applyAlignment="1">
      <alignment horizontal="left" vertical="center"/>
    </xf>
    <xf numFmtId="165" fontId="7" fillId="3" borderId="12" xfId="0" applyNumberFormat="1" applyFont="1" applyFill="1" applyBorder="1" applyAlignment="1">
      <alignment horizontal="left" vertical="center"/>
    </xf>
    <xf numFmtId="165" fontId="7" fillId="3" borderId="0" xfId="0" applyNumberFormat="1" applyFont="1" applyFill="1" applyBorder="1" applyAlignment="1">
      <alignment horizontal="left" vertical="center"/>
    </xf>
    <xf numFmtId="0" fontId="7" fillId="6" borderId="13" xfId="0" applyFont="1" applyFill="1" applyBorder="1" applyAlignment="1">
      <alignment horizontal="left" vertical="center"/>
    </xf>
    <xf numFmtId="165" fontId="7" fillId="3" borderId="3" xfId="0" applyNumberFormat="1" applyFont="1" applyFill="1" applyBorder="1" applyAlignment="1">
      <alignment horizontal="left" vertical="center"/>
    </xf>
    <xf numFmtId="165" fontId="7" fillId="3" borderId="14" xfId="0" applyNumberFormat="1" applyFont="1" applyFill="1" applyBorder="1" applyAlignment="1">
      <alignment horizontal="left" vertical="center"/>
    </xf>
    <xf numFmtId="0" fontId="22" fillId="0" borderId="0" xfId="0" applyFont="1"/>
    <xf numFmtId="165" fontId="7" fillId="2" borderId="29" xfId="0" applyNumberFormat="1" applyFont="1" applyFill="1" applyBorder="1" applyAlignment="1" applyProtection="1">
      <alignment horizontal="left" vertical="center"/>
      <protection locked="0"/>
    </xf>
    <xf numFmtId="10" fontId="7" fillId="2" borderId="33" xfId="1" applyNumberFormat="1" applyFont="1" applyFill="1" applyBorder="1" applyAlignment="1" applyProtection="1">
      <alignment horizontal="left" vertical="center"/>
      <protection locked="0"/>
    </xf>
    <xf numFmtId="165" fontId="7" fillId="2" borderId="38" xfId="0" applyNumberFormat="1" applyFont="1" applyFill="1" applyBorder="1" applyAlignment="1" applyProtection="1">
      <alignment horizontal="left" vertical="center"/>
      <protection locked="0"/>
    </xf>
    <xf numFmtId="10" fontId="7" fillId="2" borderId="35" xfId="1" applyNumberFormat="1" applyFont="1" applyFill="1" applyBorder="1" applyAlignment="1" applyProtection="1">
      <alignment horizontal="left" vertical="center"/>
      <protection locked="0"/>
    </xf>
    <xf numFmtId="165" fontId="7" fillId="2" borderId="0" xfId="0" applyNumberFormat="1" applyFont="1" applyFill="1" applyBorder="1" applyAlignment="1" applyProtection="1">
      <alignment horizontal="left" vertical="center"/>
      <protection locked="0"/>
    </xf>
    <xf numFmtId="10" fontId="7" fillId="2" borderId="36" xfId="1" applyNumberFormat="1" applyFont="1" applyFill="1" applyBorder="1" applyAlignment="1" applyProtection="1">
      <alignment horizontal="left" vertical="center"/>
      <protection locked="0"/>
    </xf>
    <xf numFmtId="178" fontId="7" fillId="2" borderId="33" xfId="0" applyNumberFormat="1" applyFont="1" applyFill="1" applyBorder="1" applyAlignment="1" applyProtection="1">
      <alignment horizontal="left" vertical="center"/>
      <protection locked="0"/>
    </xf>
    <xf numFmtId="178" fontId="7" fillId="2" borderId="35" xfId="0" applyNumberFormat="1" applyFont="1" applyFill="1" applyBorder="1" applyAlignment="1" applyProtection="1">
      <alignment horizontal="left" vertical="center"/>
      <protection locked="0"/>
    </xf>
    <xf numFmtId="178" fontId="7" fillId="2" borderId="36" xfId="0" applyNumberFormat="1" applyFont="1" applyFill="1" applyBorder="1" applyAlignment="1" applyProtection="1">
      <alignment horizontal="left" vertical="center"/>
      <protection locked="0"/>
    </xf>
    <xf numFmtId="0" fontId="7" fillId="5" borderId="33" xfId="0" applyFont="1" applyFill="1" applyBorder="1" applyAlignment="1">
      <alignment horizontal="left" vertical="center"/>
    </xf>
    <xf numFmtId="0" fontId="7" fillId="5" borderId="35" xfId="0" applyFont="1" applyFill="1" applyBorder="1" applyAlignment="1">
      <alignment horizontal="left" vertical="center"/>
    </xf>
    <xf numFmtId="0" fontId="7" fillId="5" borderId="67" xfId="0" applyFont="1" applyFill="1" applyBorder="1" applyAlignment="1">
      <alignment horizontal="left" vertical="center"/>
    </xf>
    <xf numFmtId="165" fontId="7" fillId="3" borderId="60" xfId="0" applyNumberFormat="1" applyFont="1" applyFill="1" applyBorder="1" applyAlignment="1">
      <alignment horizontal="left" vertical="center"/>
    </xf>
    <xf numFmtId="165" fontId="7" fillId="3" borderId="35" xfId="0" applyNumberFormat="1" applyFont="1" applyFill="1" applyBorder="1" applyAlignment="1">
      <alignment horizontal="left" vertical="center"/>
    </xf>
    <xf numFmtId="165" fontId="7" fillId="3" borderId="27" xfId="0" applyNumberFormat="1" applyFont="1" applyFill="1" applyBorder="1" applyAlignment="1">
      <alignment horizontal="left" vertical="center"/>
    </xf>
    <xf numFmtId="166" fontId="7" fillId="3" borderId="60" xfId="0" applyNumberFormat="1" applyFont="1" applyFill="1" applyBorder="1" applyAlignment="1" applyProtection="1">
      <alignment horizontal="left" vertical="center"/>
    </xf>
    <xf numFmtId="179" fontId="7" fillId="3" borderId="60" xfId="0" applyNumberFormat="1" applyFont="1" applyFill="1" applyBorder="1" applyAlignment="1" applyProtection="1">
      <alignment horizontal="left" vertical="center"/>
    </xf>
    <xf numFmtId="179" fontId="7" fillId="3" borderId="35" xfId="0" applyNumberFormat="1" applyFont="1" applyFill="1" applyBorder="1" applyAlignment="1" applyProtection="1">
      <alignment horizontal="left" vertical="center"/>
    </xf>
    <xf numFmtId="179" fontId="7" fillId="3" borderId="27" xfId="0" applyNumberFormat="1" applyFont="1" applyFill="1" applyBorder="1" applyAlignment="1" applyProtection="1">
      <alignment horizontal="left" vertical="center"/>
    </xf>
    <xf numFmtId="176" fontId="7" fillId="3" borderId="38" xfId="0" applyNumberFormat="1" applyFont="1" applyFill="1" applyBorder="1" applyAlignment="1">
      <alignment horizontal="left" vertical="center"/>
    </xf>
    <xf numFmtId="0" fontId="15" fillId="8" borderId="4" xfId="0" applyFont="1" applyFill="1" applyBorder="1" applyAlignment="1">
      <alignment horizontal="left" vertical="center"/>
    </xf>
    <xf numFmtId="0" fontId="15" fillId="8" borderId="63" xfId="0" applyFont="1" applyFill="1" applyBorder="1" applyAlignment="1">
      <alignment horizontal="left" vertical="center"/>
    </xf>
    <xf numFmtId="0" fontId="15" fillId="8" borderId="40" xfId="0" applyFont="1" applyFill="1" applyBorder="1" applyAlignment="1" applyProtection="1">
      <alignment horizontal="left" vertical="center"/>
    </xf>
    <xf numFmtId="0" fontId="15" fillId="8" borderId="34" xfId="0" applyFont="1" applyFill="1" applyBorder="1" applyAlignment="1">
      <alignment horizontal="left" vertical="center"/>
    </xf>
    <xf numFmtId="0" fontId="15" fillId="8" borderId="74" xfId="0" applyFont="1" applyFill="1" applyBorder="1" applyAlignment="1" applyProtection="1">
      <alignment horizontal="left" vertical="center"/>
    </xf>
    <xf numFmtId="181" fontId="5" fillId="8" borderId="30" xfId="0" applyNumberFormat="1" applyFont="1" applyFill="1" applyBorder="1" applyAlignment="1">
      <alignment horizontal="left" vertical="center"/>
    </xf>
    <xf numFmtId="180" fontId="5" fillId="8" borderId="30" xfId="0" applyNumberFormat="1" applyFont="1" applyFill="1" applyBorder="1" applyAlignment="1">
      <alignment horizontal="left" vertical="center"/>
    </xf>
    <xf numFmtId="0" fontId="5" fillId="8" borderId="30" xfId="0" applyFont="1" applyFill="1" applyBorder="1" applyAlignment="1">
      <alignment horizontal="left" vertical="center"/>
    </xf>
    <xf numFmtId="176" fontId="5" fillId="8" borderId="4" xfId="0" applyNumberFormat="1" applyFont="1" applyFill="1" applyBorder="1" applyAlignment="1">
      <alignment horizontal="left" vertical="center"/>
    </xf>
    <xf numFmtId="191" fontId="5" fillId="8" borderId="34" xfId="0" applyNumberFormat="1" applyFont="1" applyFill="1" applyBorder="1" applyAlignment="1">
      <alignment horizontal="left" vertical="center"/>
    </xf>
    <xf numFmtId="0" fontId="11" fillId="8" borderId="7" xfId="0" applyFont="1" applyFill="1" applyBorder="1" applyAlignment="1">
      <alignment horizontal="left" vertical="center"/>
    </xf>
    <xf numFmtId="0" fontId="11" fillId="8" borderId="4" xfId="0" applyFont="1" applyFill="1" applyBorder="1" applyAlignment="1">
      <alignment horizontal="left" vertical="center"/>
    </xf>
    <xf numFmtId="0" fontId="11" fillId="8" borderId="8" xfId="0" applyFont="1" applyFill="1" applyBorder="1" applyAlignment="1">
      <alignment horizontal="left" vertical="center"/>
    </xf>
    <xf numFmtId="164" fontId="11" fillId="8" borderId="4" xfId="0" applyNumberFormat="1" applyFont="1" applyFill="1" applyBorder="1" applyAlignment="1">
      <alignment horizontal="left" vertical="center"/>
    </xf>
    <xf numFmtId="176" fontId="11" fillId="8" borderId="4" xfId="0" applyNumberFormat="1" applyFont="1" applyFill="1" applyBorder="1" applyAlignment="1">
      <alignment horizontal="left" vertical="center"/>
    </xf>
    <xf numFmtId="166" fontId="11" fillId="8" borderId="4" xfId="0" applyNumberFormat="1" applyFont="1" applyFill="1" applyBorder="1" applyAlignment="1">
      <alignment horizontal="left" vertical="center"/>
    </xf>
    <xf numFmtId="179" fontId="11" fillId="8" borderId="8" xfId="0" applyNumberFormat="1" applyFont="1" applyFill="1" applyBorder="1" applyAlignment="1">
      <alignment horizontal="left" vertical="center"/>
    </xf>
    <xf numFmtId="0" fontId="5" fillId="3" borderId="11" xfId="0" applyFont="1" applyFill="1" applyBorder="1" applyAlignment="1">
      <alignment horizontal="left" vertical="center"/>
    </xf>
    <xf numFmtId="185" fontId="7" fillId="2" borderId="24" xfId="0" applyNumberFormat="1" applyFont="1" applyFill="1" applyBorder="1" applyAlignment="1" applyProtection="1">
      <alignment horizontal="center"/>
      <protection locked="0"/>
    </xf>
    <xf numFmtId="185" fontId="7" fillId="2" borderId="1" xfId="0" applyNumberFormat="1" applyFont="1" applyFill="1" applyBorder="1" applyAlignment="1" applyProtection="1">
      <alignment horizontal="center"/>
      <protection locked="0"/>
    </xf>
    <xf numFmtId="185" fontId="7" fillId="2" borderId="2" xfId="0" applyNumberFormat="1" applyFont="1" applyFill="1" applyBorder="1" applyAlignment="1" applyProtection="1">
      <alignment horizontal="center"/>
      <protection locked="0"/>
    </xf>
    <xf numFmtId="2" fontId="7" fillId="2" borderId="24" xfId="0" applyNumberFormat="1" applyFont="1" applyFill="1" applyBorder="1" applyAlignment="1" applyProtection="1">
      <alignment horizontal="center"/>
      <protection locked="0"/>
    </xf>
    <xf numFmtId="193" fontId="7" fillId="2" borderId="24" xfId="1" applyNumberFormat="1" applyFont="1" applyFill="1" applyBorder="1" applyAlignment="1" applyProtection="1">
      <alignment horizontal="center"/>
      <protection locked="0"/>
    </xf>
    <xf numFmtId="2" fontId="7" fillId="2" borderId="1" xfId="0" applyNumberFormat="1" applyFont="1" applyFill="1" applyBorder="1" applyAlignment="1" applyProtection="1">
      <alignment horizontal="center"/>
      <protection locked="0"/>
    </xf>
    <xf numFmtId="0" fontId="26" fillId="8" borderId="49" xfId="0" applyFont="1" applyFill="1" applyBorder="1"/>
    <xf numFmtId="0" fontId="11" fillId="8" borderId="15" xfId="0" applyFont="1" applyFill="1" applyBorder="1" applyAlignment="1">
      <alignment horizontal="center"/>
    </xf>
    <xf numFmtId="0" fontId="11" fillId="8" borderId="6" xfId="0" applyFont="1" applyFill="1" applyBorder="1" applyAlignment="1">
      <alignment horizontal="center"/>
    </xf>
    <xf numFmtId="0" fontId="11" fillId="8" borderId="4" xfId="0" applyFont="1" applyFill="1" applyBorder="1" applyAlignment="1">
      <alignment horizontal="center"/>
    </xf>
    <xf numFmtId="0" fontId="11" fillId="8" borderId="30" xfId="0" applyFont="1" applyFill="1" applyBorder="1" applyAlignment="1">
      <alignment horizontal="center"/>
    </xf>
    <xf numFmtId="185" fontId="7" fillId="3" borderId="24" xfId="0" applyNumberFormat="1" applyFont="1" applyFill="1" applyBorder="1" applyAlignment="1">
      <alignment horizontal="center"/>
    </xf>
    <xf numFmtId="166" fontId="7" fillId="3" borderId="31" xfId="0" applyNumberFormat="1" applyFont="1" applyFill="1" applyBorder="1" applyAlignment="1">
      <alignment horizontal="center"/>
    </xf>
    <xf numFmtId="188" fontId="7" fillId="3" borderId="61" xfId="0" applyNumberFormat="1" applyFont="1" applyFill="1" applyBorder="1" applyAlignment="1">
      <alignment horizontal="center"/>
    </xf>
    <xf numFmtId="188" fontId="7" fillId="3" borderId="45" xfId="0" applyNumberFormat="1" applyFont="1" applyFill="1" applyBorder="1" applyAlignment="1">
      <alignment horizontal="center"/>
    </xf>
    <xf numFmtId="166" fontId="7" fillId="3" borderId="32" xfId="0" applyNumberFormat="1" applyFont="1" applyFill="1" applyBorder="1" applyAlignment="1">
      <alignment horizontal="center"/>
    </xf>
    <xf numFmtId="2" fontId="7" fillId="5" borderId="1" xfId="0" applyNumberFormat="1" applyFont="1" applyFill="1" applyBorder="1" applyAlignment="1">
      <alignment horizontal="center"/>
    </xf>
    <xf numFmtId="10" fontId="7" fillId="5" borderId="1" xfId="1" applyNumberFormat="1" applyFont="1" applyFill="1" applyBorder="1" applyAlignment="1">
      <alignment horizontal="center"/>
    </xf>
    <xf numFmtId="0" fontId="7" fillId="5" borderId="1" xfId="0" applyFont="1" applyFill="1" applyBorder="1" applyAlignment="1">
      <alignment horizontal="center"/>
    </xf>
    <xf numFmtId="0" fontId="7" fillId="5" borderId="2" xfId="0" applyFont="1" applyFill="1" applyBorder="1" applyAlignment="1">
      <alignment horizontal="center"/>
    </xf>
    <xf numFmtId="0" fontId="7" fillId="5" borderId="31" xfId="0" applyFont="1" applyFill="1" applyBorder="1"/>
    <xf numFmtId="0" fontId="7" fillId="5" borderId="32" xfId="0" applyFont="1" applyFill="1" applyBorder="1"/>
    <xf numFmtId="0" fontId="8" fillId="5" borderId="32" xfId="0" applyFont="1" applyFill="1" applyBorder="1"/>
    <xf numFmtId="0" fontId="7" fillId="5" borderId="54" xfId="0" applyFont="1" applyFill="1" applyBorder="1"/>
    <xf numFmtId="0" fontId="7" fillId="3" borderId="24" xfId="0" applyFont="1" applyFill="1" applyBorder="1" applyAlignment="1">
      <alignment horizontal="center"/>
    </xf>
    <xf numFmtId="167" fontId="7" fillId="3" borderId="24" xfId="0" applyNumberFormat="1" applyFont="1" applyFill="1" applyBorder="1" applyAlignment="1">
      <alignment horizontal="center"/>
    </xf>
    <xf numFmtId="0" fontId="7" fillId="3" borderId="1" xfId="0" applyFont="1" applyFill="1" applyBorder="1" applyAlignment="1">
      <alignment horizontal="center"/>
    </xf>
    <xf numFmtId="2" fontId="8" fillId="3" borderId="1" xfId="0" applyNumberFormat="1" applyFont="1" applyFill="1" applyBorder="1" applyAlignment="1">
      <alignment horizontal="center"/>
    </xf>
    <xf numFmtId="0" fontId="1" fillId="8" borderId="62" xfId="0" applyFont="1" applyFill="1" applyBorder="1"/>
    <xf numFmtId="172" fontId="1" fillId="8" borderId="63" xfId="0" applyNumberFormat="1" applyFont="1" applyFill="1" applyBorder="1" applyAlignment="1">
      <alignment horizontal="center"/>
    </xf>
    <xf numFmtId="0" fontId="1" fillId="8" borderId="53" xfId="0" applyFont="1" applyFill="1" applyBorder="1" applyAlignment="1">
      <alignment horizontal="center"/>
    </xf>
    <xf numFmtId="167" fontId="1" fillId="8" borderId="63" xfId="0" applyNumberFormat="1" applyFont="1" applyFill="1" applyBorder="1" applyAlignment="1">
      <alignment horizontal="center"/>
    </xf>
    <xf numFmtId="168" fontId="1" fillId="8" borderId="63" xfId="0" applyNumberFormat="1" applyFont="1" applyFill="1" applyBorder="1" applyAlignment="1">
      <alignment horizontal="center"/>
    </xf>
    <xf numFmtId="10" fontId="1" fillId="8" borderId="63" xfId="1" applyNumberFormat="1" applyFont="1" applyFill="1" applyBorder="1" applyAlignment="1">
      <alignment horizontal="center"/>
    </xf>
    <xf numFmtId="169" fontId="1" fillId="8" borderId="63" xfId="0" applyNumberFormat="1" applyFont="1" applyFill="1" applyBorder="1" applyAlignment="1">
      <alignment horizontal="center"/>
    </xf>
    <xf numFmtId="170" fontId="1" fillId="8" borderId="62" xfId="0" applyNumberFormat="1" applyFont="1" applyFill="1" applyBorder="1" applyAlignment="1">
      <alignment horizontal="center"/>
    </xf>
    <xf numFmtId="171" fontId="1" fillId="8" borderId="64" xfId="0" applyNumberFormat="1" applyFont="1" applyFill="1" applyBorder="1" applyAlignment="1">
      <alignment horizontal="center"/>
    </xf>
    <xf numFmtId="0" fontId="11" fillId="8" borderId="23" xfId="0" applyFont="1" applyFill="1" applyBorder="1" applyAlignment="1">
      <alignment horizontal="center"/>
    </xf>
    <xf numFmtId="0" fontId="11" fillId="8" borderId="47" xfId="0" applyFont="1" applyFill="1" applyBorder="1" applyAlignment="1">
      <alignment horizontal="center"/>
    </xf>
    <xf numFmtId="0" fontId="23" fillId="7" borderId="19" xfId="0" applyFont="1" applyFill="1" applyBorder="1" applyAlignment="1">
      <alignment horizontal="right" vertical="center"/>
    </xf>
    <xf numFmtId="0" fontId="23" fillId="7" borderId="20" xfId="0" applyFont="1" applyFill="1" applyBorder="1" applyAlignment="1">
      <alignment horizontal="right" vertical="center"/>
    </xf>
    <xf numFmtId="0" fontId="11" fillId="8" borderId="4" xfId="0" applyFont="1" applyFill="1" applyBorder="1" applyAlignment="1">
      <alignment vertical="center"/>
    </xf>
    <xf numFmtId="0" fontId="11" fillId="8" borderId="23" xfId="0" applyFont="1" applyFill="1" applyBorder="1" applyAlignment="1">
      <alignment vertical="center"/>
    </xf>
    <xf numFmtId="0" fontId="11" fillId="8" borderId="6" xfId="0" applyFont="1" applyFill="1" applyBorder="1" applyAlignment="1">
      <alignment vertical="center"/>
    </xf>
    <xf numFmtId="0" fontId="11" fillId="8" borderId="6" xfId="0" applyFont="1" applyFill="1" applyBorder="1" applyAlignment="1" applyProtection="1">
      <alignment vertical="center"/>
    </xf>
    <xf numFmtId="0" fontId="11" fillId="8" borderId="47" xfId="0" applyFont="1" applyFill="1" applyBorder="1" applyAlignment="1">
      <alignment vertical="center"/>
    </xf>
    <xf numFmtId="0" fontId="11" fillId="8" borderId="34" xfId="0" applyFont="1" applyFill="1" applyBorder="1" applyAlignment="1" applyProtection="1">
      <alignment vertical="center"/>
    </xf>
    <xf numFmtId="0" fontId="1" fillId="8" borderId="34" xfId="0" applyFont="1" applyFill="1" applyBorder="1" applyAlignment="1">
      <alignment horizontal="left" vertical="center"/>
    </xf>
    <xf numFmtId="165" fontId="1" fillId="8" borderId="30" xfId="0" applyNumberFormat="1" applyFont="1" applyFill="1" applyBorder="1" applyAlignment="1">
      <alignment horizontal="left" vertical="center"/>
    </xf>
    <xf numFmtId="176" fontId="1" fillId="8" borderId="4" xfId="0" applyNumberFormat="1" applyFont="1" applyFill="1" applyBorder="1" applyAlignment="1">
      <alignment horizontal="left" vertical="center"/>
    </xf>
    <xf numFmtId="190" fontId="1" fillId="8" borderId="4" xfId="0" applyNumberFormat="1" applyFont="1" applyFill="1" applyBorder="1" applyAlignment="1">
      <alignment horizontal="left" vertical="center"/>
    </xf>
    <xf numFmtId="166" fontId="1" fillId="8" borderId="4" xfId="0" applyNumberFormat="1" applyFont="1" applyFill="1" applyBorder="1" applyAlignment="1" applyProtection="1">
      <alignment horizontal="left" vertical="center"/>
    </xf>
    <xf numFmtId="191" fontId="1" fillId="8" borderId="40" xfId="0" applyNumberFormat="1" applyFont="1" applyFill="1" applyBorder="1" applyAlignment="1">
      <alignment horizontal="left" vertical="center"/>
    </xf>
    <xf numFmtId="179" fontId="1" fillId="8" borderId="34" xfId="0" applyNumberFormat="1" applyFont="1" applyFill="1" applyBorder="1" applyAlignment="1" applyProtection="1">
      <alignment horizontal="left" vertical="center"/>
    </xf>
    <xf numFmtId="173" fontId="1" fillId="8" borderId="64" xfId="0" applyNumberFormat="1" applyFont="1" applyFill="1" applyBorder="1" applyAlignment="1">
      <alignment horizontal="center"/>
    </xf>
    <xf numFmtId="0" fontId="1" fillId="8" borderId="63" xfId="0" applyFont="1" applyFill="1" applyBorder="1" applyAlignment="1">
      <alignment horizontal="center"/>
    </xf>
    <xf numFmtId="167" fontId="1" fillId="8" borderId="62" xfId="0" applyNumberFormat="1" applyFont="1" applyFill="1" applyBorder="1" applyAlignment="1">
      <alignment horizontal="center"/>
    </xf>
    <xf numFmtId="2" fontId="7" fillId="3" borderId="24" xfId="0" applyNumberFormat="1" applyFont="1" applyFill="1" applyBorder="1" applyAlignment="1">
      <alignment horizontal="center"/>
    </xf>
    <xf numFmtId="167" fontId="7" fillId="3" borderId="31" xfId="0" applyNumberFormat="1" applyFont="1" applyFill="1" applyBorder="1" applyAlignment="1">
      <alignment horizontal="center"/>
    </xf>
    <xf numFmtId="2" fontId="7" fillId="3" borderId="1" xfId="0" applyNumberFormat="1" applyFont="1" applyFill="1" applyBorder="1" applyAlignment="1">
      <alignment horizontal="center"/>
    </xf>
    <xf numFmtId="2" fontId="7" fillId="3" borderId="3" xfId="0" applyNumberFormat="1" applyFont="1" applyFill="1" applyBorder="1" applyAlignment="1">
      <alignment horizontal="center"/>
    </xf>
    <xf numFmtId="2" fontId="7" fillId="3" borderId="5" xfId="0" applyNumberFormat="1" applyFont="1" applyFill="1" applyBorder="1" applyAlignment="1">
      <alignment horizontal="center"/>
    </xf>
    <xf numFmtId="185" fontId="7" fillId="3" borderId="1" xfId="0" applyNumberFormat="1" applyFont="1" applyFill="1" applyBorder="1" applyAlignment="1">
      <alignment horizontal="center"/>
    </xf>
    <xf numFmtId="0" fontId="7" fillId="5" borderId="65" xfId="0" applyFont="1" applyFill="1" applyBorder="1"/>
    <xf numFmtId="188" fontId="7" fillId="3" borderId="25" xfId="0" applyNumberFormat="1" applyFont="1" applyFill="1" applyBorder="1" applyAlignment="1">
      <alignment horizontal="center"/>
    </xf>
    <xf numFmtId="0" fontId="7" fillId="5" borderId="35" xfId="0" applyFont="1" applyFill="1" applyBorder="1"/>
    <xf numFmtId="0" fontId="7" fillId="5" borderId="36" xfId="0" applyFont="1" applyFill="1" applyBorder="1"/>
    <xf numFmtId="0" fontId="1" fillId="8" borderId="72" xfId="0" applyFont="1" applyFill="1" applyBorder="1"/>
    <xf numFmtId="171" fontId="1" fillId="8" borderId="74" xfId="0" applyNumberFormat="1" applyFont="1" applyFill="1" applyBorder="1" applyAlignment="1">
      <alignment horizontal="center"/>
    </xf>
    <xf numFmtId="0" fontId="7" fillId="5" borderId="33" xfId="0" applyFont="1" applyFill="1" applyBorder="1"/>
    <xf numFmtId="0" fontId="26" fillId="8" borderId="34" xfId="0" applyFont="1" applyFill="1" applyBorder="1"/>
    <xf numFmtId="0" fontId="11" fillId="8" borderId="7" xfId="0" applyFont="1" applyFill="1" applyBorder="1" applyAlignment="1">
      <alignment horizontal="center"/>
    </xf>
    <xf numFmtId="0" fontId="11" fillId="8" borderId="8" xfId="0" applyFont="1" applyFill="1" applyBorder="1" applyAlignment="1">
      <alignment horizontal="center"/>
    </xf>
    <xf numFmtId="0" fontId="27" fillId="5" borderId="20" xfId="0" applyFont="1" applyFill="1" applyBorder="1" applyAlignment="1" applyProtection="1">
      <alignment vertical="center"/>
      <protection locked="0"/>
    </xf>
    <xf numFmtId="0" fontId="1" fillId="8" borderId="15" xfId="0" applyFont="1" applyFill="1" applyBorder="1"/>
    <xf numFmtId="173" fontId="1" fillId="8" borderId="40" xfId="0" applyNumberFormat="1" applyFont="1" applyFill="1" applyBorder="1" applyAlignment="1">
      <alignment horizontal="center"/>
    </xf>
    <xf numFmtId="0" fontId="1" fillId="8" borderId="4" xfId="0" applyFont="1" applyFill="1" applyBorder="1" applyAlignment="1">
      <alignment horizontal="center"/>
    </xf>
    <xf numFmtId="167" fontId="1" fillId="8" borderId="30" xfId="0" applyNumberFormat="1" applyFont="1" applyFill="1" applyBorder="1" applyAlignment="1">
      <alignment horizontal="center"/>
    </xf>
    <xf numFmtId="169" fontId="1" fillId="8" borderId="4" xfId="0" applyNumberFormat="1" applyFont="1" applyFill="1" applyBorder="1" applyAlignment="1">
      <alignment horizontal="center"/>
    </xf>
    <xf numFmtId="170" fontId="1" fillId="8" borderId="30" xfId="0" applyNumberFormat="1" applyFont="1" applyFill="1" applyBorder="1" applyAlignment="1">
      <alignment horizontal="center"/>
    </xf>
    <xf numFmtId="171" fontId="1" fillId="8" borderId="8" xfId="0" applyNumberFormat="1" applyFont="1" applyFill="1" applyBorder="1" applyAlignment="1">
      <alignment horizontal="center"/>
    </xf>
    <xf numFmtId="166" fontId="7" fillId="3" borderId="53" xfId="0" applyNumberFormat="1" applyFont="1" applyFill="1" applyBorder="1" applyAlignment="1">
      <alignment horizontal="left"/>
    </xf>
    <xf numFmtId="166" fontId="7" fillId="3" borderId="24" xfId="0" applyNumberFormat="1" applyFont="1" applyFill="1" applyBorder="1" applyAlignment="1">
      <alignment horizontal="left"/>
    </xf>
    <xf numFmtId="179" fontId="7" fillId="3" borderId="43" xfId="0" applyNumberFormat="1" applyFont="1" applyFill="1" applyBorder="1" applyAlignment="1">
      <alignment horizontal="left"/>
    </xf>
    <xf numFmtId="166" fontId="7" fillId="3" borderId="1" xfId="0" applyNumberFormat="1" applyFont="1" applyFill="1" applyBorder="1" applyAlignment="1">
      <alignment horizontal="left"/>
    </xf>
    <xf numFmtId="172" fontId="7" fillId="2" borderId="37" xfId="0" applyNumberFormat="1" applyFont="1" applyFill="1" applyBorder="1" applyAlignment="1" applyProtection="1">
      <alignment horizontal="center"/>
      <protection locked="0"/>
    </xf>
    <xf numFmtId="172" fontId="7" fillId="2" borderId="38" xfId="0" applyNumberFormat="1" applyFont="1" applyFill="1" applyBorder="1" applyAlignment="1" applyProtection="1">
      <alignment horizontal="center"/>
      <protection locked="0"/>
    </xf>
    <xf numFmtId="172" fontId="7" fillId="2" borderId="39" xfId="0" applyNumberFormat="1" applyFont="1" applyFill="1" applyBorder="1" applyAlignment="1" applyProtection="1">
      <alignment horizontal="center"/>
      <protection locked="0"/>
    </xf>
    <xf numFmtId="0" fontId="1" fillId="8" borderId="7" xfId="0" applyFont="1" applyFill="1" applyBorder="1"/>
    <xf numFmtId="172" fontId="1" fillId="8" borderId="4" xfId="0" applyNumberFormat="1" applyFont="1" applyFill="1" applyBorder="1" applyAlignment="1">
      <alignment horizontal="center"/>
    </xf>
    <xf numFmtId="167" fontId="1" fillId="8" borderId="8" xfId="0" applyNumberFormat="1" applyFont="1" applyFill="1" applyBorder="1" applyAlignment="1">
      <alignment horizontal="center"/>
    </xf>
    <xf numFmtId="0" fontId="26" fillId="8" borderId="7" xfId="0" applyFont="1" applyFill="1" applyBorder="1"/>
    <xf numFmtId="0" fontId="26" fillId="8" borderId="4" xfId="0" applyFont="1" applyFill="1" applyBorder="1" applyAlignment="1">
      <alignment horizontal="center"/>
    </xf>
    <xf numFmtId="0" fontId="26" fillId="8" borderId="8" xfId="0" applyFont="1" applyFill="1" applyBorder="1" applyAlignment="1">
      <alignment horizontal="center"/>
    </xf>
    <xf numFmtId="2" fontId="7" fillId="3" borderId="61" xfId="0" applyNumberFormat="1" applyFont="1" applyFill="1" applyBorder="1" applyAlignment="1">
      <alignment horizontal="center"/>
    </xf>
    <xf numFmtId="0" fontId="7" fillId="3" borderId="2" xfId="0" applyFont="1" applyFill="1" applyBorder="1" applyAlignment="1">
      <alignment horizontal="center"/>
    </xf>
    <xf numFmtId="189" fontId="1" fillId="3" borderId="34" xfId="0" applyNumberFormat="1" applyFont="1" applyFill="1" applyBorder="1" applyAlignment="1">
      <alignment horizontal="center"/>
    </xf>
    <xf numFmtId="0" fontId="28" fillId="0" borderId="0" xfId="0" applyFont="1"/>
    <xf numFmtId="0" fontId="10" fillId="8" borderId="23" xfId="0" applyFont="1" applyFill="1" applyBorder="1" applyAlignment="1">
      <alignment horizontal="center"/>
    </xf>
    <xf numFmtId="0" fontId="10" fillId="8" borderId="53" xfId="0" applyFont="1" applyFill="1" applyBorder="1" applyAlignment="1">
      <alignment horizontal="center"/>
    </xf>
    <xf numFmtId="0" fontId="10" fillId="8" borderId="6" xfId="0" applyFont="1" applyFill="1" applyBorder="1" applyAlignment="1">
      <alignment horizontal="center"/>
    </xf>
    <xf numFmtId="0" fontId="10" fillId="8" borderId="6" xfId="0" applyFont="1" applyFill="1" applyBorder="1" applyAlignment="1" applyProtection="1">
      <alignment horizontal="center"/>
    </xf>
    <xf numFmtId="0" fontId="10" fillId="8" borderId="47" xfId="0" applyFont="1" applyFill="1" applyBorder="1" applyAlignment="1" applyProtection="1">
      <alignment horizontal="center"/>
    </xf>
    <xf numFmtId="0" fontId="10" fillId="8" borderId="47" xfId="0" applyFont="1" applyFill="1" applyBorder="1" applyAlignment="1">
      <alignment horizontal="center"/>
    </xf>
    <xf numFmtId="0" fontId="10" fillId="8" borderId="34" xfId="0" applyFont="1" applyFill="1" applyBorder="1" applyAlignment="1" applyProtection="1">
      <alignment horizontal="center"/>
    </xf>
    <xf numFmtId="0" fontId="4" fillId="8" borderId="34" xfId="0" applyFont="1" applyFill="1" applyBorder="1" applyAlignment="1">
      <alignment horizontal="center"/>
    </xf>
    <xf numFmtId="165" fontId="4" fillId="8" borderId="30" xfId="0" applyNumberFormat="1" applyFont="1" applyFill="1" applyBorder="1" applyAlignment="1">
      <alignment horizontal="center"/>
    </xf>
    <xf numFmtId="176" fontId="4" fillId="8" borderId="4" xfId="0" applyNumberFormat="1" applyFont="1" applyFill="1" applyBorder="1" applyAlignment="1">
      <alignment horizontal="center"/>
    </xf>
    <xf numFmtId="177" fontId="4" fillId="8" borderId="4" xfId="0" applyNumberFormat="1" applyFont="1" applyFill="1" applyBorder="1" applyAlignment="1">
      <alignment horizontal="center"/>
    </xf>
    <xf numFmtId="166" fontId="4" fillId="8" borderId="4" xfId="0" applyNumberFormat="1" applyFont="1" applyFill="1" applyBorder="1" applyAlignment="1" applyProtection="1">
      <alignment horizontal="center"/>
    </xf>
    <xf numFmtId="179" fontId="4" fillId="8" borderId="4" xfId="0" applyNumberFormat="1" applyFont="1" applyFill="1" applyBorder="1" applyAlignment="1">
      <alignment horizontal="center"/>
    </xf>
    <xf numFmtId="179" fontId="4" fillId="8" borderId="4" xfId="0" applyNumberFormat="1" applyFont="1" applyFill="1" applyBorder="1" applyAlignment="1" applyProtection="1">
      <alignment horizontal="center"/>
    </xf>
    <xf numFmtId="0" fontId="4" fillId="8" borderId="8" xfId="0" applyNumberFormat="1" applyFont="1" applyFill="1" applyBorder="1" applyAlignment="1">
      <alignment horizontal="center"/>
    </xf>
    <xf numFmtId="175" fontId="4" fillId="8" borderId="34" xfId="0" applyNumberFormat="1" applyFont="1" applyFill="1" applyBorder="1" applyAlignment="1" applyProtection="1">
      <alignment horizontal="center"/>
    </xf>
    <xf numFmtId="0" fontId="10" fillId="8" borderId="51" xfId="0" applyFont="1" applyFill="1" applyBorder="1" applyAlignment="1">
      <alignment horizontal="center"/>
    </xf>
    <xf numFmtId="0" fontId="10" fillId="8" borderId="34" xfId="0" applyFont="1" applyFill="1" applyBorder="1" applyAlignment="1">
      <alignment horizontal="center"/>
    </xf>
    <xf numFmtId="0" fontId="10" fillId="8" borderId="23" xfId="0" applyFont="1" applyFill="1" applyBorder="1" applyAlignment="1" applyProtection="1">
      <alignment horizontal="center"/>
    </xf>
    <xf numFmtId="178" fontId="4" fillId="8" borderId="4" xfId="0" applyNumberFormat="1" applyFont="1" applyFill="1" applyBorder="1" applyAlignment="1">
      <alignment horizontal="center"/>
    </xf>
    <xf numFmtId="174" fontId="4" fillId="8" borderId="8" xfId="0" applyNumberFormat="1" applyFont="1" applyFill="1" applyBorder="1" applyAlignment="1">
      <alignment horizontal="center"/>
    </xf>
    <xf numFmtId="0" fontId="10" fillId="8" borderId="27" xfId="0" applyFont="1" applyFill="1" applyBorder="1" applyAlignment="1">
      <alignment horizontal="center"/>
    </xf>
    <xf numFmtId="0" fontId="10" fillId="8" borderId="23"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6" xfId="0" applyFont="1" applyFill="1" applyBorder="1" applyAlignment="1" applyProtection="1">
      <alignment horizontal="center" vertical="center" wrapText="1"/>
    </xf>
    <xf numFmtId="0" fontId="10" fillId="8" borderId="47" xfId="0" applyFont="1" applyFill="1" applyBorder="1" applyAlignment="1" applyProtection="1">
      <alignment horizontal="center" vertical="center" wrapText="1"/>
    </xf>
    <xf numFmtId="0" fontId="10" fillId="8" borderId="47" xfId="0" applyFont="1" applyFill="1" applyBorder="1" applyAlignment="1">
      <alignment horizontal="center" vertical="center" wrapText="1"/>
    </xf>
    <xf numFmtId="0" fontId="10" fillId="8" borderId="34" xfId="0" applyFont="1" applyFill="1" applyBorder="1" applyAlignment="1" applyProtection="1">
      <alignment horizontal="center" vertical="center" wrapText="1"/>
    </xf>
    <xf numFmtId="0" fontId="7" fillId="2" borderId="33" xfId="0" applyFont="1" applyFill="1" applyBorder="1" applyProtection="1">
      <protection locked="0"/>
    </xf>
    <xf numFmtId="165" fontId="7" fillId="2" borderId="41" xfId="0" applyNumberFormat="1" applyFont="1" applyFill="1" applyBorder="1" applyAlignment="1" applyProtection="1">
      <alignment horizontal="center"/>
      <protection locked="0"/>
    </xf>
    <xf numFmtId="10" fontId="7" fillId="2" borderId="41" xfId="1" applyNumberFormat="1" applyFont="1" applyFill="1" applyBorder="1" applyAlignment="1" applyProtection="1">
      <alignment horizontal="center"/>
      <protection locked="0"/>
    </xf>
    <xf numFmtId="0" fontId="7" fillId="2" borderId="35" xfId="0" applyFont="1" applyFill="1" applyBorder="1" applyProtection="1">
      <protection locked="0"/>
    </xf>
    <xf numFmtId="165" fontId="7" fillId="2" borderId="32" xfId="0" applyNumberFormat="1" applyFont="1" applyFill="1" applyBorder="1" applyAlignment="1" applyProtection="1">
      <alignment horizontal="center"/>
      <protection locked="0"/>
    </xf>
    <xf numFmtId="10" fontId="7" fillId="2" borderId="32" xfId="1" applyNumberFormat="1" applyFont="1" applyFill="1" applyBorder="1" applyAlignment="1" applyProtection="1">
      <alignment horizontal="center"/>
      <protection locked="0"/>
    </xf>
    <xf numFmtId="0" fontId="7" fillId="2" borderId="67" xfId="0" applyFont="1" applyFill="1" applyBorder="1" applyProtection="1">
      <protection locked="0"/>
    </xf>
    <xf numFmtId="165" fontId="7" fillId="2" borderId="54" xfId="0" applyNumberFormat="1" applyFont="1" applyFill="1" applyBorder="1" applyAlignment="1" applyProtection="1">
      <alignment horizontal="center"/>
      <protection locked="0"/>
    </xf>
    <xf numFmtId="10" fontId="7" fillId="2" borderId="54" xfId="1" applyNumberFormat="1" applyFont="1" applyFill="1" applyBorder="1" applyAlignment="1" applyProtection="1">
      <alignment horizontal="center"/>
      <protection locked="0"/>
    </xf>
    <xf numFmtId="178" fontId="7" fillId="2" borderId="5" xfId="0" applyNumberFormat="1" applyFont="1" applyFill="1" applyBorder="1" applyAlignment="1" applyProtection="1">
      <alignment horizontal="center"/>
      <protection locked="0"/>
    </xf>
    <xf numFmtId="178" fontId="7" fillId="2" borderId="1" xfId="0" applyNumberFormat="1" applyFont="1" applyFill="1" applyBorder="1" applyAlignment="1" applyProtection="1">
      <alignment horizontal="center"/>
      <protection locked="0"/>
    </xf>
    <xf numFmtId="178" fontId="7" fillId="2" borderId="2" xfId="0" applyNumberFormat="1" applyFont="1" applyFill="1" applyBorder="1" applyAlignment="1" applyProtection="1">
      <alignment horizontal="center"/>
      <protection locked="0"/>
    </xf>
    <xf numFmtId="175" fontId="7" fillId="2" borderId="44" xfId="0" applyNumberFormat="1" applyFont="1" applyFill="1" applyBorder="1" applyAlignment="1" applyProtection="1">
      <alignment horizontal="center"/>
      <protection locked="0"/>
    </xf>
    <xf numFmtId="175" fontId="7" fillId="2" borderId="45" xfId="0" applyNumberFormat="1" applyFont="1" applyFill="1" applyBorder="1" applyAlignment="1" applyProtection="1">
      <alignment horizontal="center"/>
      <protection locked="0"/>
    </xf>
    <xf numFmtId="175" fontId="7" fillId="2" borderId="68" xfId="0" applyNumberFormat="1" applyFont="1" applyFill="1" applyBorder="1" applyAlignment="1" applyProtection="1">
      <alignment horizontal="center"/>
      <protection locked="0"/>
    </xf>
    <xf numFmtId="10" fontId="7" fillId="2" borderId="1" xfId="1" applyNumberFormat="1" applyFont="1" applyFill="1" applyBorder="1" applyAlignment="1" applyProtection="1">
      <alignment horizontal="center"/>
      <protection locked="0"/>
    </xf>
    <xf numFmtId="165" fontId="7" fillId="2" borderId="24" xfId="0" applyNumberFormat="1" applyFont="1" applyFill="1" applyBorder="1" applyAlignment="1" applyProtection="1">
      <alignment horizontal="center"/>
      <protection locked="0"/>
    </xf>
    <xf numFmtId="165" fontId="7" fillId="2" borderId="1" xfId="0" applyNumberFormat="1" applyFont="1" applyFill="1" applyBorder="1" applyAlignment="1" applyProtection="1">
      <alignment horizontal="center"/>
      <protection locked="0"/>
    </xf>
    <xf numFmtId="10" fontId="7" fillId="2" borderId="31" xfId="1" applyNumberFormat="1" applyFont="1" applyFill="1" applyBorder="1" applyAlignment="1" applyProtection="1">
      <alignment horizontal="center"/>
      <protection locked="0"/>
    </xf>
    <xf numFmtId="165" fontId="7" fillId="2" borderId="2" xfId="0" applyNumberFormat="1" applyFont="1" applyFill="1" applyBorder="1" applyAlignment="1" applyProtection="1">
      <alignment horizontal="center"/>
      <protection locked="0"/>
    </xf>
    <xf numFmtId="178" fontId="7" fillId="2" borderId="63" xfId="0" applyNumberFormat="1" applyFont="1" applyFill="1" applyBorder="1" applyAlignment="1" applyProtection="1">
      <alignment horizontal="center"/>
      <protection locked="0"/>
    </xf>
    <xf numFmtId="178" fontId="7" fillId="2" borderId="53" xfId="0" applyNumberFormat="1" applyFont="1" applyFill="1" applyBorder="1" applyAlignment="1" applyProtection="1">
      <alignment horizontal="center"/>
      <protection locked="0"/>
    </xf>
    <xf numFmtId="175" fontId="7" fillId="2" borderId="64" xfId="0" applyNumberFormat="1" applyFont="1" applyFill="1" applyBorder="1" applyAlignment="1" applyProtection="1">
      <alignment horizontal="center"/>
      <protection locked="0"/>
    </xf>
    <xf numFmtId="175" fontId="7" fillId="2" borderId="48" xfId="0" applyNumberFormat="1" applyFont="1" applyFill="1" applyBorder="1" applyAlignment="1" applyProtection="1">
      <alignment horizontal="center"/>
      <protection locked="0"/>
    </xf>
    <xf numFmtId="0" fontId="8" fillId="2" borderId="33" xfId="0" applyFont="1" applyFill="1" applyBorder="1" applyProtection="1">
      <protection locked="0"/>
    </xf>
    <xf numFmtId="0" fontId="8" fillId="2" borderId="35" xfId="0" applyFont="1" applyFill="1" applyBorder="1" applyProtection="1">
      <protection locked="0"/>
    </xf>
    <xf numFmtId="0" fontId="8" fillId="2" borderId="67" xfId="0" applyFont="1" applyFill="1" applyBorder="1" applyProtection="1">
      <protection locked="0"/>
    </xf>
    <xf numFmtId="165" fontId="7" fillId="3" borderId="1" xfId="0" applyNumberFormat="1" applyFont="1" applyFill="1" applyBorder="1" applyAlignment="1">
      <alignment horizontal="center"/>
    </xf>
    <xf numFmtId="166" fontId="7" fillId="3" borderId="63" xfId="0" applyNumberFormat="1" applyFont="1" applyFill="1" applyBorder="1" applyAlignment="1" applyProtection="1">
      <alignment horizontal="center"/>
    </xf>
    <xf numFmtId="179" fontId="7" fillId="3" borderId="64" xfId="0" applyNumberFormat="1" applyFont="1" applyFill="1" applyBorder="1" applyAlignment="1" applyProtection="1">
      <alignment horizontal="center"/>
    </xf>
    <xf numFmtId="179" fontId="7" fillId="3" borderId="1" xfId="0" applyNumberFormat="1" applyFont="1" applyFill="1" applyBorder="1" applyAlignment="1" applyProtection="1">
      <alignment horizontal="center"/>
    </xf>
    <xf numFmtId="179" fontId="7" fillId="3" borderId="61" xfId="0" applyNumberFormat="1" applyFont="1" applyFill="1" applyBorder="1" applyAlignment="1" applyProtection="1">
      <alignment horizontal="center"/>
    </xf>
    <xf numFmtId="0" fontId="7" fillId="3" borderId="33" xfId="0" applyFont="1" applyFill="1" applyBorder="1"/>
    <xf numFmtId="0" fontId="7" fillId="3" borderId="35" xfId="0" applyFont="1" applyFill="1" applyBorder="1"/>
    <xf numFmtId="0" fontId="7" fillId="3" borderId="67" xfId="0" applyFont="1" applyFill="1" applyBorder="1"/>
    <xf numFmtId="165" fontId="7" fillId="3" borderId="24" xfId="0" applyNumberFormat="1" applyFont="1" applyFill="1" applyBorder="1" applyAlignment="1">
      <alignment horizontal="center"/>
    </xf>
    <xf numFmtId="165" fontId="7" fillId="3" borderId="63" xfId="0" applyNumberFormat="1" applyFont="1" applyFill="1" applyBorder="1" applyAlignment="1">
      <alignment horizontal="center"/>
    </xf>
    <xf numFmtId="165" fontId="7" fillId="3" borderId="53" xfId="0" applyNumberFormat="1" applyFont="1" applyFill="1" applyBorder="1" applyAlignment="1">
      <alignment horizontal="center"/>
    </xf>
    <xf numFmtId="179" fontId="7" fillId="3" borderId="48" xfId="0" applyNumberFormat="1" applyFont="1" applyFill="1" applyBorder="1" applyAlignment="1" applyProtection="1">
      <alignment horizontal="center"/>
    </xf>
    <xf numFmtId="175" fontId="7" fillId="3" borderId="25" xfId="0" applyNumberFormat="1" applyFont="1" applyFill="1" applyBorder="1" applyAlignment="1" applyProtection="1">
      <alignment horizontal="center"/>
    </xf>
    <xf numFmtId="0" fontId="0" fillId="0" borderId="0" xfId="0" applyBorder="1" applyProtection="1"/>
    <xf numFmtId="0" fontId="8" fillId="2" borderId="56" xfId="0" applyFont="1" applyFill="1" applyBorder="1" applyProtection="1">
      <protection locked="0"/>
    </xf>
    <xf numFmtId="0" fontId="8" fillId="2" borderId="69" xfId="0" applyFont="1" applyFill="1" applyBorder="1" applyProtection="1">
      <protection locked="0"/>
    </xf>
    <xf numFmtId="0" fontId="8" fillId="2" borderId="42" xfId="0" applyFont="1" applyFill="1" applyBorder="1" applyProtection="1">
      <protection locked="0"/>
    </xf>
    <xf numFmtId="0" fontId="8" fillId="2" borderId="66" xfId="0" applyFont="1" applyFill="1" applyBorder="1" applyProtection="1">
      <protection locked="0"/>
    </xf>
    <xf numFmtId="165" fontId="7" fillId="3" borderId="41" xfId="0" applyNumberFormat="1" applyFont="1" applyFill="1" applyBorder="1" applyAlignment="1">
      <alignment horizontal="center"/>
    </xf>
    <xf numFmtId="166" fontId="7" fillId="3" borderId="5" xfId="0" applyNumberFormat="1" applyFont="1" applyFill="1" applyBorder="1" applyAlignment="1">
      <alignment horizontal="center"/>
    </xf>
    <xf numFmtId="179" fontId="7" fillId="3" borderId="5" xfId="0" applyNumberFormat="1" applyFont="1" applyFill="1" applyBorder="1" applyAlignment="1">
      <alignment horizontal="center"/>
    </xf>
    <xf numFmtId="175" fontId="7" fillId="3" borderId="10" xfId="0" applyNumberFormat="1" applyFont="1" applyFill="1" applyBorder="1" applyAlignment="1">
      <alignment horizontal="center"/>
    </xf>
    <xf numFmtId="165" fontId="7" fillId="3" borderId="32" xfId="0" applyNumberFormat="1" applyFont="1" applyFill="1" applyBorder="1" applyAlignment="1">
      <alignment horizontal="center"/>
    </xf>
    <xf numFmtId="166" fontId="7" fillId="3" borderId="1" xfId="0" applyNumberFormat="1" applyFont="1" applyFill="1" applyBorder="1" applyAlignment="1">
      <alignment horizontal="center"/>
    </xf>
    <xf numFmtId="179" fontId="7" fillId="3" borderId="1" xfId="0" applyNumberFormat="1" applyFont="1" applyFill="1" applyBorder="1" applyAlignment="1">
      <alignment horizontal="center"/>
    </xf>
    <xf numFmtId="175" fontId="7" fillId="3" borderId="12" xfId="0" applyNumberFormat="1" applyFont="1" applyFill="1" applyBorder="1" applyAlignment="1">
      <alignment horizontal="center"/>
    </xf>
    <xf numFmtId="165" fontId="7" fillId="3" borderId="23" xfId="0" applyNumberFormat="1" applyFont="1" applyFill="1" applyBorder="1" applyAlignment="1">
      <alignment horizontal="center"/>
    </xf>
    <xf numFmtId="165" fontId="7" fillId="3" borderId="3" xfId="0" applyNumberFormat="1" applyFont="1" applyFill="1" applyBorder="1" applyAlignment="1">
      <alignment horizontal="center"/>
    </xf>
    <xf numFmtId="166" fontId="7" fillId="3" borderId="6" xfId="0" applyNumberFormat="1" applyFont="1" applyFill="1" applyBorder="1" applyAlignment="1">
      <alignment horizontal="center"/>
    </xf>
    <xf numFmtId="179" fontId="7" fillId="3" borderId="6" xfId="0" applyNumberFormat="1" applyFont="1" applyFill="1" applyBorder="1" applyAlignment="1">
      <alignment horizontal="center"/>
    </xf>
    <xf numFmtId="175" fontId="7" fillId="3" borderId="16" xfId="0" applyNumberFormat="1" applyFont="1" applyFill="1" applyBorder="1" applyAlignment="1">
      <alignment horizontal="center"/>
    </xf>
    <xf numFmtId="0" fontId="1" fillId="8" borderId="59" xfId="0" applyFont="1" applyFill="1" applyBorder="1" applyAlignment="1">
      <alignment horizontal="center"/>
    </xf>
    <xf numFmtId="165" fontId="1" fillId="8" borderId="50" xfId="0" applyNumberFormat="1" applyFont="1" applyFill="1" applyBorder="1" applyAlignment="1">
      <alignment horizontal="center"/>
    </xf>
    <xf numFmtId="176" fontId="1" fillId="8" borderId="53" xfId="0" applyNumberFormat="1" applyFont="1" applyFill="1" applyBorder="1" applyAlignment="1">
      <alignment horizontal="center"/>
    </xf>
    <xf numFmtId="166" fontId="1" fillId="8" borderId="53" xfId="0" applyNumberFormat="1" applyFont="1" applyFill="1" applyBorder="1" applyAlignment="1">
      <alignment horizontal="center"/>
    </xf>
    <xf numFmtId="179" fontId="1" fillId="8" borderId="53" xfId="0" applyNumberFormat="1" applyFont="1" applyFill="1" applyBorder="1" applyAlignment="1">
      <alignment horizontal="center"/>
    </xf>
    <xf numFmtId="175" fontId="1" fillId="8" borderId="48" xfId="0" applyNumberFormat="1" applyFont="1" applyFill="1" applyBorder="1" applyAlignment="1">
      <alignment horizontal="center"/>
    </xf>
    <xf numFmtId="0" fontId="11" fillId="8" borderId="49" xfId="0" applyFont="1" applyFill="1" applyBorder="1" applyAlignment="1">
      <alignment horizontal="center"/>
    </xf>
    <xf numFmtId="175" fontId="5" fillId="8" borderId="4" xfId="0" applyNumberFormat="1" applyFont="1" applyFill="1" applyBorder="1" applyAlignment="1">
      <alignment horizontal="center"/>
    </xf>
    <xf numFmtId="182" fontId="5" fillId="8" borderId="4" xfId="0" applyNumberFormat="1" applyFont="1" applyFill="1" applyBorder="1" applyAlignment="1">
      <alignment horizontal="center"/>
    </xf>
    <xf numFmtId="174" fontId="5" fillId="8" borderId="4" xfId="0" applyNumberFormat="1" applyFont="1" applyFill="1" applyBorder="1" applyAlignment="1">
      <alignment horizontal="center"/>
    </xf>
    <xf numFmtId="183" fontId="5" fillId="8" borderId="8" xfId="0" applyNumberFormat="1" applyFont="1" applyFill="1" applyBorder="1" applyAlignment="1">
      <alignment horizontal="center"/>
    </xf>
    <xf numFmtId="0" fontId="7" fillId="3" borderId="41" xfId="0" applyFont="1" applyFill="1" applyBorder="1"/>
    <xf numFmtId="0" fontId="7" fillId="3" borderId="32" xfId="0" applyFont="1" applyFill="1" applyBorder="1"/>
    <xf numFmtId="0" fontId="7" fillId="3" borderId="54" xfId="0" applyFont="1" applyFill="1" applyBorder="1"/>
    <xf numFmtId="0" fontId="7" fillId="3" borderId="1" xfId="0" applyFont="1" applyFill="1" applyBorder="1"/>
    <xf numFmtId="0" fontId="7" fillId="3" borderId="50" xfId="0" applyFont="1" applyFill="1" applyBorder="1"/>
    <xf numFmtId="175" fontId="7" fillId="3" borderId="5" xfId="0" applyNumberFormat="1" applyFont="1" applyFill="1" applyBorder="1" applyAlignment="1">
      <alignment horizontal="center"/>
    </xf>
    <xf numFmtId="175" fontId="7" fillId="3" borderId="44" xfId="0" applyNumberFormat="1" applyFont="1" applyFill="1" applyBorder="1" applyAlignment="1">
      <alignment horizontal="center"/>
    </xf>
    <xf numFmtId="175" fontId="7" fillId="3" borderId="1" xfId="0" applyNumberFormat="1" applyFont="1" applyFill="1" applyBorder="1" applyAlignment="1">
      <alignment horizontal="center"/>
    </xf>
    <xf numFmtId="175" fontId="7" fillId="3" borderId="45" xfId="0" applyNumberFormat="1" applyFont="1" applyFill="1" applyBorder="1" applyAlignment="1">
      <alignment horizontal="center"/>
    </xf>
    <xf numFmtId="175" fontId="7" fillId="3" borderId="2" xfId="0" applyNumberFormat="1" applyFont="1" applyFill="1" applyBorder="1" applyAlignment="1">
      <alignment horizontal="center"/>
    </xf>
    <xf numFmtId="175" fontId="7" fillId="3" borderId="68" xfId="0" applyNumberFormat="1" applyFont="1" applyFill="1" applyBorder="1" applyAlignment="1">
      <alignment horizontal="center"/>
    </xf>
    <xf numFmtId="167" fontId="15" fillId="3" borderId="12" xfId="0" applyNumberFormat="1" applyFont="1" applyFill="1" applyBorder="1" applyAlignment="1">
      <alignment horizontal="center"/>
    </xf>
    <xf numFmtId="167" fontId="15" fillId="3" borderId="14" xfId="0" applyNumberFormat="1" applyFont="1" applyFill="1" applyBorder="1" applyAlignment="1">
      <alignment horizontal="center"/>
    </xf>
    <xf numFmtId="175" fontId="7" fillId="2" borderId="5" xfId="0" applyNumberFormat="1" applyFont="1" applyFill="1" applyBorder="1" applyAlignment="1" applyProtection="1">
      <alignment horizontal="center"/>
      <protection locked="0"/>
    </xf>
    <xf numFmtId="175" fontId="7" fillId="2" borderId="1" xfId="0" applyNumberFormat="1" applyFont="1" applyFill="1" applyBorder="1" applyAlignment="1" applyProtection="1">
      <alignment horizontal="center"/>
      <protection locked="0"/>
    </xf>
    <xf numFmtId="175" fontId="7" fillId="2" borderId="2" xfId="0" applyNumberFormat="1" applyFont="1" applyFill="1" applyBorder="1" applyAlignment="1" applyProtection="1">
      <alignment horizontal="center"/>
      <protection locked="0"/>
    </xf>
    <xf numFmtId="175" fontId="7" fillId="2" borderId="53" xfId="0" applyNumberFormat="1" applyFont="1" applyFill="1" applyBorder="1" applyAlignment="1" applyProtection="1">
      <alignment horizontal="center"/>
      <protection locked="0"/>
    </xf>
    <xf numFmtId="192" fontId="15" fillId="2" borderId="10" xfId="0" applyNumberFormat="1" applyFont="1" applyFill="1" applyBorder="1" applyAlignment="1" applyProtection="1">
      <alignment horizontal="center"/>
      <protection locked="0"/>
    </xf>
    <xf numFmtId="187" fontId="1" fillId="3" borderId="10" xfId="0" applyNumberFormat="1" applyFont="1" applyFill="1" applyBorder="1" applyAlignment="1">
      <alignment horizontal="center"/>
    </xf>
    <xf numFmtId="175" fontId="1" fillId="3" borderId="14" xfId="0" applyNumberFormat="1" applyFont="1" applyFill="1" applyBorder="1" applyAlignment="1">
      <alignment horizontal="center"/>
    </xf>
    <xf numFmtId="0" fontId="15" fillId="5" borderId="9" xfId="0" applyFont="1" applyFill="1" applyBorder="1" applyAlignment="1">
      <alignment horizontal="left"/>
    </xf>
    <xf numFmtId="0" fontId="15" fillId="5" borderId="13" xfId="0" applyFont="1" applyFill="1" applyBorder="1"/>
    <xf numFmtId="0" fontId="0" fillId="0" borderId="26" xfId="0" applyBorder="1" applyAlignment="1">
      <alignment horizontal="left" vertical="center"/>
    </xf>
    <xf numFmtId="166" fontId="7" fillId="3" borderId="1" xfId="0" applyNumberFormat="1" applyFont="1" applyFill="1" applyBorder="1" applyAlignment="1">
      <alignment horizontal="left" vertical="center"/>
    </xf>
    <xf numFmtId="179" fontId="7" fillId="3" borderId="12" xfId="0" applyNumberFormat="1" applyFont="1" applyFill="1" applyBorder="1" applyAlignment="1">
      <alignment horizontal="left" vertical="center"/>
    </xf>
    <xf numFmtId="0" fontId="21" fillId="8" borderId="11" xfId="0" applyFont="1" applyFill="1" applyBorder="1" applyAlignment="1">
      <alignment horizontal="left" vertical="center"/>
    </xf>
    <xf numFmtId="0" fontId="21" fillId="8" borderId="1" xfId="0" applyFont="1" applyFill="1" applyBorder="1" applyAlignment="1">
      <alignment horizontal="left" vertical="center"/>
    </xf>
    <xf numFmtId="0" fontId="21" fillId="8" borderId="12" xfId="0" applyFont="1" applyFill="1" applyBorder="1" applyAlignment="1">
      <alignment horizontal="left" vertical="center"/>
    </xf>
    <xf numFmtId="0" fontId="7" fillId="5" borderId="27" xfId="0" applyFont="1" applyFill="1" applyBorder="1"/>
    <xf numFmtId="0" fontId="10" fillId="8" borderId="27" xfId="0" applyFont="1" applyFill="1" applyBorder="1" applyAlignment="1">
      <alignment horizontal="left" vertical="center" wrapText="1"/>
    </xf>
    <xf numFmtId="175" fontId="1" fillId="3" borderId="10" xfId="0" applyNumberFormat="1" applyFont="1" applyFill="1" applyBorder="1" applyAlignment="1">
      <alignment horizontal="right"/>
    </xf>
    <xf numFmtId="176" fontId="1" fillId="3" borderId="25" xfId="0" applyNumberFormat="1" applyFont="1" applyFill="1" applyBorder="1" applyAlignment="1">
      <alignment horizontal="right"/>
    </xf>
    <xf numFmtId="166" fontId="1" fillId="3" borderId="12" xfId="0" applyNumberFormat="1" applyFont="1" applyFill="1" applyBorder="1" applyAlignment="1">
      <alignment horizontal="right"/>
    </xf>
    <xf numFmtId="179" fontId="1" fillId="3" borderId="14" xfId="0" applyNumberFormat="1" applyFont="1" applyFill="1" applyBorder="1" applyAlignment="1">
      <alignment horizontal="right"/>
    </xf>
    <xf numFmtId="0" fontId="1" fillId="0" borderId="9" xfId="0" applyFont="1" applyBorder="1"/>
    <xf numFmtId="0" fontId="1" fillId="0" borderId="26" xfId="0" applyFont="1" applyBorder="1"/>
    <xf numFmtId="0" fontId="1" fillId="0" borderId="11" xfId="0" applyFont="1" applyBorder="1"/>
    <xf numFmtId="0" fontId="1" fillId="0" borderId="13" xfId="0" applyFont="1" applyBorder="1"/>
    <xf numFmtId="0" fontId="0" fillId="0" borderId="0" xfId="0" applyAlignment="1"/>
    <xf numFmtId="0" fontId="0" fillId="0" borderId="0" xfId="0" applyAlignment="1">
      <alignment vertical="center" wrapText="1"/>
    </xf>
    <xf numFmtId="0" fontId="1" fillId="8" borderId="9" xfId="0" applyFont="1" applyFill="1" applyBorder="1" applyAlignment="1">
      <alignment horizontal="left" vertical="center"/>
    </xf>
    <xf numFmtId="0" fontId="1" fillId="8" borderId="5" xfId="0" applyFont="1" applyFill="1" applyBorder="1" applyAlignment="1">
      <alignment horizontal="left" vertical="center"/>
    </xf>
    <xf numFmtId="0" fontId="1" fillId="8" borderId="10" xfId="0" applyFont="1" applyFill="1" applyBorder="1" applyAlignment="1">
      <alignment horizontal="left" vertical="center"/>
    </xf>
    <xf numFmtId="0" fontId="1" fillId="8" borderId="15" xfId="0" applyFont="1" applyFill="1" applyBorder="1" applyAlignment="1">
      <alignment horizontal="left" vertical="center"/>
    </xf>
    <xf numFmtId="0" fontId="1" fillId="8" borderId="4" xfId="0" applyFont="1" applyFill="1" applyBorder="1" applyAlignment="1">
      <alignment horizontal="left" vertical="center"/>
    </xf>
    <xf numFmtId="164" fontId="1" fillId="8" borderId="8" xfId="0" applyNumberFormat="1" applyFont="1" applyFill="1" applyBorder="1" applyAlignment="1">
      <alignment horizontal="left" vertical="center"/>
    </xf>
    <xf numFmtId="0" fontId="2" fillId="0" borderId="32" xfId="0" applyFont="1" applyBorder="1" applyAlignment="1">
      <alignment horizontal="center"/>
    </xf>
    <xf numFmtId="0" fontId="21" fillId="8" borderId="26" xfId="0" applyFont="1" applyFill="1" applyBorder="1"/>
    <xf numFmtId="0" fontId="21" fillId="8" borderId="13" xfId="0" applyFont="1" applyFill="1" applyBorder="1"/>
    <xf numFmtId="0" fontId="21" fillId="8" borderId="4" xfId="0" applyFont="1" applyFill="1" applyBorder="1" applyAlignment="1">
      <alignment horizontal="center"/>
    </xf>
    <xf numFmtId="0" fontId="21" fillId="8" borderId="8" xfId="0" applyFont="1" applyFill="1" applyBorder="1" applyAlignment="1">
      <alignment horizontal="center"/>
    </xf>
    <xf numFmtId="0" fontId="26" fillId="8" borderId="15" xfId="0" applyFont="1" applyFill="1" applyBorder="1" applyAlignment="1">
      <alignment horizontal="left" vertical="center" wrapText="1"/>
    </xf>
    <xf numFmtId="165" fontId="26" fillId="8" borderId="6" xfId="0" applyNumberFormat="1" applyFont="1" applyFill="1" applyBorder="1" applyAlignment="1">
      <alignment horizontal="left" vertical="center" wrapText="1"/>
    </xf>
    <xf numFmtId="166" fontId="26" fillId="8" borderId="6" xfId="0" applyNumberFormat="1" applyFont="1" applyFill="1" applyBorder="1" applyAlignment="1">
      <alignment horizontal="left" vertical="center" wrapText="1"/>
    </xf>
    <xf numFmtId="179" fontId="26" fillId="8" borderId="16" xfId="0" applyNumberFormat="1" applyFont="1" applyFill="1" applyBorder="1" applyAlignment="1">
      <alignment horizontal="left" vertical="center" wrapText="1"/>
    </xf>
    <xf numFmtId="10" fontId="31" fillId="3" borderId="24" xfId="0" applyNumberFormat="1" applyFont="1" applyFill="1" applyBorder="1" applyAlignment="1">
      <alignment horizontal="center"/>
    </xf>
    <xf numFmtId="10" fontId="31" fillId="3" borderId="25" xfId="0" applyNumberFormat="1" applyFont="1" applyFill="1" applyBorder="1" applyAlignment="1">
      <alignment horizontal="center"/>
    </xf>
    <xf numFmtId="10" fontId="31" fillId="3" borderId="3" xfId="0" applyNumberFormat="1" applyFont="1" applyFill="1" applyBorder="1" applyAlignment="1">
      <alignment horizontal="center"/>
    </xf>
    <xf numFmtId="10" fontId="31" fillId="3" borderId="14" xfId="0" applyNumberFormat="1" applyFont="1" applyFill="1" applyBorder="1" applyAlignment="1">
      <alignment horizontal="center"/>
    </xf>
    <xf numFmtId="0" fontId="8" fillId="8" borderId="31" xfId="0" applyFont="1" applyFill="1" applyBorder="1" applyAlignment="1">
      <alignment horizontal="center"/>
    </xf>
    <xf numFmtId="0" fontId="8" fillId="8" borderId="24" xfId="0" applyFont="1" applyFill="1" applyBorder="1" applyAlignment="1">
      <alignment horizontal="center"/>
    </xf>
    <xf numFmtId="0" fontId="8" fillId="8" borderId="24" xfId="0" applyFont="1" applyFill="1" applyBorder="1"/>
    <xf numFmtId="0" fontId="2" fillId="3" borderId="32" xfId="0" applyFont="1" applyFill="1" applyBorder="1" applyAlignment="1">
      <alignment horizontal="center"/>
    </xf>
    <xf numFmtId="0" fontId="2" fillId="3" borderId="1" xfId="0" applyFont="1" applyFill="1" applyBorder="1" applyAlignment="1">
      <alignment horizontal="center"/>
    </xf>
    <xf numFmtId="0" fontId="16" fillId="9" borderId="38" xfId="0" applyFont="1" applyFill="1" applyBorder="1" applyAlignment="1">
      <alignment horizontal="center"/>
    </xf>
    <xf numFmtId="0" fontId="2" fillId="9" borderId="32" xfId="0" applyFont="1" applyFill="1" applyBorder="1" applyAlignment="1">
      <alignment horizontal="center"/>
    </xf>
    <xf numFmtId="0" fontId="2" fillId="9" borderId="38" xfId="0" applyFont="1" applyFill="1" applyBorder="1" applyAlignment="1">
      <alignment horizontal="center"/>
    </xf>
    <xf numFmtId="0" fontId="2" fillId="0" borderId="38" xfId="0" applyFont="1" applyBorder="1" applyAlignment="1">
      <alignment horizontal="center"/>
    </xf>
    <xf numFmtId="0" fontId="16" fillId="0" borderId="38" xfId="0" applyFont="1" applyFill="1" applyBorder="1"/>
    <xf numFmtId="0" fontId="2" fillId="5" borderId="1" xfId="0" applyFont="1" applyFill="1" applyBorder="1"/>
    <xf numFmtId="0" fontId="2" fillId="5" borderId="2" xfId="0" applyFont="1" applyFill="1" applyBorder="1"/>
    <xf numFmtId="0" fontId="2" fillId="3" borderId="54" xfId="0" applyFont="1" applyFill="1" applyBorder="1" applyAlignment="1">
      <alignment horizontal="center"/>
    </xf>
    <xf numFmtId="0" fontId="2" fillId="3" borderId="2" xfId="0" applyFont="1" applyFill="1" applyBorder="1" applyAlignment="1">
      <alignment horizontal="center"/>
    </xf>
    <xf numFmtId="0" fontId="16" fillId="0" borderId="38" xfId="0" applyFont="1" applyFill="1" applyBorder="1" applyAlignment="1">
      <alignment horizontal="center"/>
    </xf>
    <xf numFmtId="0" fontId="16" fillId="9" borderId="45" xfId="0" applyFont="1" applyFill="1" applyBorder="1"/>
    <xf numFmtId="0" fontId="8" fillId="8" borderId="26" xfId="0" applyFont="1" applyFill="1" applyBorder="1"/>
    <xf numFmtId="0" fontId="8" fillId="8" borderId="25" xfId="0" applyFont="1" applyFill="1" applyBorder="1" applyAlignment="1">
      <alignment horizontal="center"/>
    </xf>
    <xf numFmtId="0" fontId="16" fillId="9" borderId="42" xfId="0" applyFont="1" applyFill="1" applyBorder="1"/>
    <xf numFmtId="0" fontId="2" fillId="0" borderId="43" xfId="0" applyFont="1" applyBorder="1" applyAlignment="1">
      <alignment horizontal="center"/>
    </xf>
    <xf numFmtId="0" fontId="2" fillId="5" borderId="11" xfId="0" applyFont="1" applyFill="1" applyBorder="1"/>
    <xf numFmtId="0" fontId="2" fillId="3" borderId="12" xfId="0" applyFont="1" applyFill="1" applyBorder="1" applyAlignment="1">
      <alignment horizontal="center"/>
    </xf>
    <xf numFmtId="0" fontId="2" fillId="9" borderId="43" xfId="0" applyFont="1" applyFill="1" applyBorder="1" applyAlignment="1">
      <alignment horizontal="center"/>
    </xf>
    <xf numFmtId="0" fontId="2" fillId="5" borderId="17" xfId="0" applyFont="1" applyFill="1" applyBorder="1"/>
    <xf numFmtId="0" fontId="2" fillId="3" borderId="18" xfId="0" applyFont="1" applyFill="1" applyBorder="1" applyAlignment="1">
      <alignment horizontal="center"/>
    </xf>
    <xf numFmtId="0" fontId="2" fillId="5" borderId="13" xfId="0" applyFont="1" applyFill="1" applyBorder="1"/>
    <xf numFmtId="0" fontId="2" fillId="3" borderId="79" xfId="0" applyFont="1" applyFill="1" applyBorder="1" applyAlignment="1">
      <alignment horizontal="center"/>
    </xf>
    <xf numFmtId="0" fontId="17" fillId="3" borderId="3" xfId="0" applyFont="1" applyFill="1" applyBorder="1" applyAlignment="1">
      <alignment horizontal="center"/>
    </xf>
    <xf numFmtId="0" fontId="2" fillId="3" borderId="3" xfId="0" applyFont="1" applyFill="1" applyBorder="1" applyAlignment="1">
      <alignment horizontal="center"/>
    </xf>
    <xf numFmtId="0" fontId="2" fillId="5" borderId="3" xfId="0" applyFont="1" applyFill="1" applyBorder="1"/>
    <xf numFmtId="0" fontId="2" fillId="3" borderId="14" xfId="0" applyFont="1" applyFill="1" applyBorder="1" applyAlignment="1">
      <alignment horizontal="center"/>
    </xf>
    <xf numFmtId="0" fontId="33" fillId="0" borderId="0" xfId="0" applyFont="1"/>
    <xf numFmtId="0" fontId="30" fillId="0" borderId="0" xfId="0" applyFont="1" applyAlignment="1">
      <alignment vertical="center"/>
    </xf>
    <xf numFmtId="0" fontId="0" fillId="0" borderId="0" xfId="0" applyBorder="1" applyAlignment="1">
      <alignment vertical="top" wrapText="1"/>
    </xf>
    <xf numFmtId="175" fontId="7" fillId="2" borderId="1" xfId="0" applyNumberFormat="1" applyFont="1" applyFill="1" applyBorder="1" applyAlignment="1" applyProtection="1">
      <alignment horizontal="center" wrapText="1"/>
      <protection locked="0"/>
    </xf>
    <xf numFmtId="194" fontId="2" fillId="2" borderId="29" xfId="0" applyNumberFormat="1" applyFont="1" applyFill="1" applyBorder="1" applyAlignment="1" applyProtection="1">
      <alignment horizontal="left" vertical="center"/>
      <protection locked="0"/>
    </xf>
    <xf numFmtId="194" fontId="2" fillId="2" borderId="38" xfId="0" applyNumberFormat="1" applyFont="1" applyFill="1" applyBorder="1" applyAlignment="1" applyProtection="1">
      <alignment horizontal="left" vertical="center"/>
      <protection locked="0"/>
    </xf>
    <xf numFmtId="194" fontId="2" fillId="2" borderId="51" xfId="0" applyNumberFormat="1" applyFont="1" applyFill="1" applyBorder="1" applyAlignment="1" applyProtection="1">
      <alignment horizontal="left" vertical="center"/>
      <protection locked="0"/>
    </xf>
    <xf numFmtId="194" fontId="2" fillId="2" borderId="70" xfId="0" applyNumberFormat="1" applyFont="1" applyFill="1" applyBorder="1" applyAlignment="1" applyProtection="1">
      <alignment horizontal="left" vertical="center"/>
      <protection locked="0"/>
    </xf>
    <xf numFmtId="194" fontId="2" fillId="2" borderId="71" xfId="0" applyNumberFormat="1" applyFont="1" applyFill="1" applyBorder="1" applyAlignment="1" applyProtection="1">
      <alignment horizontal="left" vertical="center"/>
      <protection locked="0"/>
    </xf>
    <xf numFmtId="194" fontId="2" fillId="2" borderId="37" xfId="0" applyNumberFormat="1" applyFont="1" applyFill="1" applyBorder="1" applyAlignment="1" applyProtection="1">
      <alignment horizontal="left" vertical="center"/>
      <protection locked="0"/>
    </xf>
    <xf numFmtId="194" fontId="2" fillId="2" borderId="39" xfId="0" applyNumberFormat="1" applyFont="1" applyFill="1" applyBorder="1" applyAlignment="1" applyProtection="1">
      <alignment horizontal="left" vertical="center"/>
      <protection locked="0"/>
    </xf>
    <xf numFmtId="175" fontId="7" fillId="3" borderId="76" xfId="0" applyNumberFormat="1" applyFont="1" applyFill="1" applyBorder="1" applyAlignment="1" applyProtection="1">
      <alignment horizontal="center"/>
    </xf>
    <xf numFmtId="195" fontId="15" fillId="8" borderId="4" xfId="0" applyNumberFormat="1" applyFont="1" applyFill="1" applyBorder="1" applyAlignment="1">
      <alignment horizontal="left" vertical="center"/>
    </xf>
    <xf numFmtId="195" fontId="2" fillId="2" borderId="52" xfId="0" applyNumberFormat="1" applyFont="1" applyFill="1" applyBorder="1" applyAlignment="1" applyProtection="1">
      <alignment horizontal="left" vertical="center"/>
      <protection locked="0"/>
    </xf>
    <xf numFmtId="195" fontId="2" fillId="2" borderId="42" xfId="0" applyNumberFormat="1" applyFont="1" applyFill="1" applyBorder="1" applyAlignment="1" applyProtection="1">
      <alignment horizontal="left" vertical="center"/>
      <protection locked="0"/>
    </xf>
    <xf numFmtId="195" fontId="2" fillId="2" borderId="22" xfId="0" applyNumberFormat="1" applyFont="1" applyFill="1" applyBorder="1" applyAlignment="1" applyProtection="1">
      <alignment horizontal="left" vertical="center"/>
      <protection locked="0"/>
    </xf>
    <xf numFmtId="195" fontId="2" fillId="2" borderId="70" xfId="0" applyNumberFormat="1" applyFont="1" applyFill="1" applyBorder="1" applyAlignment="1" applyProtection="1">
      <alignment horizontal="left" vertical="center"/>
      <protection locked="0"/>
    </xf>
    <xf numFmtId="195" fontId="2" fillId="2" borderId="38" xfId="0" applyNumberFormat="1" applyFont="1" applyFill="1" applyBorder="1" applyAlignment="1" applyProtection="1">
      <alignment horizontal="left" vertical="center"/>
      <protection locked="0"/>
    </xf>
    <xf numFmtId="195" fontId="2" fillId="2" borderId="71" xfId="0" applyNumberFormat="1" applyFont="1" applyFill="1" applyBorder="1" applyAlignment="1" applyProtection="1">
      <alignment horizontal="left" vertical="center"/>
      <protection locked="0"/>
    </xf>
    <xf numFmtId="195" fontId="2" fillId="2" borderId="37" xfId="0" applyNumberFormat="1" applyFont="1" applyFill="1" applyBorder="1" applyAlignment="1" applyProtection="1">
      <alignment horizontal="left" vertical="center"/>
      <protection locked="0"/>
    </xf>
    <xf numFmtId="195" fontId="2" fillId="2" borderId="51" xfId="0" applyNumberFormat="1" applyFont="1" applyFill="1" applyBorder="1" applyAlignment="1" applyProtection="1">
      <alignment horizontal="left" vertical="center"/>
      <protection locked="0"/>
    </xf>
    <xf numFmtId="195" fontId="2" fillId="2" borderId="56" xfId="0" applyNumberFormat="1" applyFont="1" applyFill="1" applyBorder="1" applyAlignment="1" applyProtection="1">
      <alignment horizontal="left" vertical="center"/>
      <protection locked="0"/>
    </xf>
    <xf numFmtId="195" fontId="2" fillId="2" borderId="66" xfId="0" applyNumberFormat="1" applyFont="1" applyFill="1" applyBorder="1" applyAlignment="1" applyProtection="1">
      <alignment horizontal="left" vertical="center"/>
      <protection locked="0"/>
    </xf>
    <xf numFmtId="195" fontId="5" fillId="8" borderId="4" xfId="0" applyNumberFormat="1" applyFont="1" applyFill="1" applyBorder="1" applyAlignment="1">
      <alignment horizontal="left" vertical="center"/>
    </xf>
    <xf numFmtId="166" fontId="2" fillId="3" borderId="60" xfId="0" applyNumberFormat="1" applyFont="1" applyFill="1" applyBorder="1" applyAlignment="1" applyProtection="1">
      <alignment horizontal="left" vertical="center"/>
    </xf>
    <xf numFmtId="166" fontId="5" fillId="8" borderId="6" xfId="0" applyNumberFormat="1" applyFont="1" applyFill="1" applyBorder="1" applyAlignment="1" applyProtection="1">
      <alignment horizontal="left" vertical="center"/>
    </xf>
    <xf numFmtId="179" fontId="2" fillId="3" borderId="33" xfId="0" applyNumberFormat="1" applyFont="1" applyFill="1" applyBorder="1" applyAlignment="1" applyProtection="1">
      <alignment horizontal="left" vertical="center"/>
    </xf>
    <xf numFmtId="179" fontId="5" fillId="8" borderId="27" xfId="0" applyNumberFormat="1" applyFont="1" applyFill="1" applyBorder="1" applyAlignment="1" applyProtection="1">
      <alignment horizontal="left" vertical="center"/>
    </xf>
    <xf numFmtId="195" fontId="7" fillId="2" borderId="33" xfId="0" applyNumberFormat="1" applyFont="1" applyFill="1" applyBorder="1" applyAlignment="1" applyProtection="1">
      <alignment horizontal="left" vertical="center"/>
      <protection locked="0"/>
    </xf>
    <xf numFmtId="195" fontId="7" fillId="2" borderId="35" xfId="0" applyNumberFormat="1" applyFont="1" applyFill="1" applyBorder="1" applyAlignment="1" applyProtection="1">
      <alignment horizontal="left" vertical="center"/>
      <protection locked="0"/>
    </xf>
    <xf numFmtId="195" fontId="7" fillId="2" borderId="36" xfId="0" applyNumberFormat="1" applyFont="1" applyFill="1" applyBorder="1" applyAlignment="1" applyProtection="1">
      <alignment horizontal="left" vertical="center"/>
      <protection locked="0"/>
    </xf>
    <xf numFmtId="195" fontId="7" fillId="2" borderId="5" xfId="0" applyNumberFormat="1" applyFont="1" applyFill="1" applyBorder="1" applyAlignment="1" applyProtection="1">
      <alignment horizontal="center"/>
      <protection locked="0"/>
    </xf>
    <xf numFmtId="195" fontId="7" fillId="2" borderId="1" xfId="0" applyNumberFormat="1" applyFont="1" applyFill="1" applyBorder="1" applyAlignment="1" applyProtection="1">
      <alignment horizontal="center"/>
      <protection locked="0"/>
    </xf>
    <xf numFmtId="195" fontId="7" fillId="2" borderId="2" xfId="0" applyNumberFormat="1" applyFont="1" applyFill="1" applyBorder="1" applyAlignment="1" applyProtection="1">
      <alignment horizontal="center"/>
      <protection locked="0"/>
    </xf>
    <xf numFmtId="195" fontId="4" fillId="8" borderId="4" xfId="0" applyNumberFormat="1" applyFont="1" applyFill="1" applyBorder="1" applyAlignment="1">
      <alignment horizontal="center"/>
    </xf>
    <xf numFmtId="195" fontId="7" fillId="2" borderId="63" xfId="0" applyNumberFormat="1" applyFont="1" applyFill="1" applyBorder="1" applyAlignment="1" applyProtection="1">
      <alignment horizontal="center"/>
      <protection locked="0"/>
    </xf>
    <xf numFmtId="195" fontId="7" fillId="2" borderId="53" xfId="0" applyNumberFormat="1" applyFont="1" applyFill="1" applyBorder="1" applyAlignment="1" applyProtection="1">
      <alignment horizontal="center"/>
      <protection locked="0"/>
    </xf>
    <xf numFmtId="164" fontId="2" fillId="2" borderId="2"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xf>
    <xf numFmtId="164" fontId="2" fillId="3" borderId="45" xfId="0" applyNumberFormat="1" applyFont="1" applyFill="1" applyBorder="1" applyAlignment="1" applyProtection="1">
      <alignment horizontal="left" vertical="center"/>
    </xf>
    <xf numFmtId="164" fontId="5" fillId="8" borderId="30" xfId="0" applyNumberFormat="1" applyFont="1" applyFill="1" applyBorder="1" applyAlignment="1" applyProtection="1">
      <alignment horizontal="left" vertical="center"/>
    </xf>
    <xf numFmtId="0" fontId="16" fillId="4" borderId="11" xfId="0" applyFont="1" applyFill="1" applyBorder="1" applyAlignment="1" applyProtection="1">
      <alignment horizontal="left" vertical="center"/>
      <protection locked="0"/>
    </xf>
    <xf numFmtId="0" fontId="2" fillId="5" borderId="63" xfId="0" applyFont="1" applyFill="1" applyBorder="1" applyAlignment="1" applyProtection="1">
      <alignment horizontal="left" vertical="center"/>
    </xf>
    <xf numFmtId="0" fontId="2" fillId="5" borderId="1"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5" fillId="8" borderId="8" xfId="0" applyFont="1" applyFill="1" applyBorder="1" applyAlignment="1" applyProtection="1">
      <alignment horizontal="left" vertical="center"/>
    </xf>
    <xf numFmtId="0" fontId="2" fillId="2" borderId="2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27" fillId="5" borderId="20" xfId="0" applyFont="1" applyFill="1" applyBorder="1" applyAlignment="1" applyProtection="1">
      <alignment vertical="center"/>
    </xf>
    <xf numFmtId="0" fontId="27" fillId="5" borderId="21" xfId="0" applyFont="1" applyFill="1" applyBorder="1" applyAlignment="1" applyProtection="1">
      <alignment vertical="center"/>
    </xf>
    <xf numFmtId="0" fontId="26" fillId="8" borderId="73" xfId="0" applyFont="1" applyFill="1" applyBorder="1" applyProtection="1"/>
    <xf numFmtId="0" fontId="11" fillId="8" borderId="15" xfId="0" applyFont="1" applyFill="1" applyBorder="1" applyAlignment="1" applyProtection="1">
      <alignment horizontal="center"/>
    </xf>
    <xf numFmtId="0" fontId="11" fillId="8" borderId="6" xfId="0" applyFont="1" applyFill="1" applyBorder="1" applyAlignment="1" applyProtection="1">
      <alignment horizontal="center"/>
    </xf>
    <xf numFmtId="0" fontId="11" fillId="8" borderId="23" xfId="0" applyFont="1" applyFill="1" applyBorder="1" applyAlignment="1" applyProtection="1">
      <alignment horizontal="center"/>
    </xf>
    <xf numFmtId="0" fontId="11" fillId="8" borderId="16" xfId="0" applyFont="1" applyFill="1" applyBorder="1" applyAlignment="1" applyProtection="1">
      <alignment horizontal="center"/>
    </xf>
    <xf numFmtId="0" fontId="0" fillId="0" borderId="0" xfId="0" applyProtection="1"/>
    <xf numFmtId="0" fontId="7" fillId="5" borderId="75" xfId="0" applyFont="1" applyFill="1" applyBorder="1" applyAlignment="1" applyProtection="1">
      <alignment horizontal="left"/>
    </xf>
    <xf numFmtId="0" fontId="7" fillId="5" borderId="77" xfId="0" applyFont="1" applyFill="1" applyBorder="1" applyProtection="1"/>
    <xf numFmtId="175" fontId="7" fillId="3" borderId="78" xfId="0" applyNumberFormat="1" applyFont="1" applyFill="1" applyBorder="1" applyAlignment="1" applyProtection="1">
      <alignment horizontal="center"/>
    </xf>
    <xf numFmtId="0" fontId="1" fillId="8" borderId="7" xfId="0" applyFont="1" applyFill="1" applyBorder="1" applyProtection="1"/>
    <xf numFmtId="186" fontId="1" fillId="8" borderId="8" xfId="0" applyNumberFormat="1" applyFont="1" applyFill="1" applyBorder="1" applyAlignment="1" applyProtection="1">
      <alignment horizontal="center"/>
    </xf>
    <xf numFmtId="0" fontId="21" fillId="8" borderId="26" xfId="0" applyFont="1" applyFill="1" applyBorder="1" applyProtection="1"/>
    <xf numFmtId="0" fontId="1" fillId="8" borderId="24" xfId="0" applyFont="1" applyFill="1" applyBorder="1" applyAlignment="1" applyProtection="1">
      <alignment horizontal="center"/>
    </xf>
    <xf numFmtId="0" fontId="1" fillId="8" borderId="25" xfId="0" applyFont="1" applyFill="1" applyBorder="1" applyAlignment="1" applyProtection="1">
      <alignment horizontal="center"/>
    </xf>
    <xf numFmtId="0" fontId="7" fillId="5" borderId="11" xfId="0" applyFont="1" applyFill="1" applyBorder="1" applyProtection="1"/>
    <xf numFmtId="175" fontId="7" fillId="3" borderId="1" xfId="0" applyNumberFormat="1" applyFont="1" applyFill="1" applyBorder="1" applyAlignment="1" applyProtection="1">
      <alignment horizontal="center"/>
    </xf>
    <xf numFmtId="175" fontId="7" fillId="3" borderId="12" xfId="0" applyNumberFormat="1" applyFont="1" applyFill="1" applyBorder="1" applyAlignment="1" applyProtection="1">
      <alignment horizontal="center"/>
    </xf>
    <xf numFmtId="0" fontId="0" fillId="0" borderId="0" xfId="0" applyAlignment="1" applyProtection="1">
      <alignment wrapText="1"/>
    </xf>
    <xf numFmtId="0" fontId="7" fillId="5" borderId="11" xfId="0" applyFont="1" applyFill="1" applyBorder="1" applyAlignment="1" applyProtection="1">
      <alignment wrapText="1"/>
    </xf>
    <xf numFmtId="0" fontId="7" fillId="3" borderId="1" xfId="0" applyNumberFormat="1" applyFont="1" applyFill="1" applyBorder="1" applyAlignment="1" applyProtection="1">
      <alignment horizontal="center"/>
    </xf>
    <xf numFmtId="0" fontId="0" fillId="0" borderId="0" xfId="0" applyBorder="1" applyAlignment="1" applyProtection="1">
      <alignment wrapText="1"/>
    </xf>
    <xf numFmtId="0" fontId="1" fillId="8" borderId="11" xfId="0" applyFont="1" applyFill="1" applyBorder="1" applyAlignment="1" applyProtection="1"/>
    <xf numFmtId="175" fontId="1" fillId="8" borderId="1" xfId="0" applyNumberFormat="1" applyFont="1" applyFill="1" applyBorder="1" applyAlignment="1" applyProtection="1">
      <alignment horizontal="center"/>
    </xf>
    <xf numFmtId="0" fontId="1" fillId="8" borderId="1" xfId="0" applyNumberFormat="1" applyFont="1" applyFill="1" applyBorder="1" applyAlignment="1" applyProtection="1">
      <alignment horizontal="center"/>
    </xf>
    <xf numFmtId="175" fontId="1" fillId="8" borderId="12" xfId="0" applyNumberFormat="1" applyFont="1" applyFill="1" applyBorder="1" applyAlignment="1" applyProtection="1">
      <alignment horizontal="center"/>
    </xf>
    <xf numFmtId="0" fontId="1" fillId="8" borderId="13" xfId="0" applyFont="1" applyFill="1" applyBorder="1" applyProtection="1"/>
    <xf numFmtId="175" fontId="1" fillId="8" borderId="3" xfId="0" applyNumberFormat="1" applyFont="1" applyFill="1" applyBorder="1" applyAlignment="1" applyProtection="1">
      <alignment horizontal="center"/>
    </xf>
    <xf numFmtId="0" fontId="1" fillId="8" borderId="3" xfId="0" applyNumberFormat="1" applyFont="1" applyFill="1" applyBorder="1" applyAlignment="1" applyProtection="1">
      <alignment horizontal="center"/>
    </xf>
    <xf numFmtId="175" fontId="1" fillId="8" borderId="14" xfId="0" applyNumberFormat="1" applyFont="1" applyFill="1" applyBorder="1" applyAlignment="1" applyProtection="1">
      <alignment horizontal="center"/>
    </xf>
    <xf numFmtId="0" fontId="32" fillId="0" borderId="0" xfId="0" applyFont="1" applyProtection="1"/>
    <xf numFmtId="0" fontId="1" fillId="8" borderId="7" xfId="0" applyFont="1" applyFill="1" applyBorder="1" applyAlignment="1" applyProtection="1">
      <alignment wrapText="1"/>
    </xf>
    <xf numFmtId="10" fontId="4" fillId="3" borderId="8" xfId="0" applyNumberFormat="1" applyFont="1" applyFill="1" applyBorder="1" applyProtection="1"/>
    <xf numFmtId="0" fontId="29" fillId="0" borderId="0" xfId="0" applyFont="1" applyBorder="1" applyAlignment="1">
      <alignment horizontal="center" vertical="center"/>
    </xf>
    <xf numFmtId="0" fontId="30" fillId="0" borderId="0" xfId="0" applyFont="1" applyBorder="1" applyAlignment="1">
      <alignment horizontal="center"/>
    </xf>
    <xf numFmtId="0" fontId="27" fillId="0" borderId="0" xfId="0" applyFont="1" applyAlignment="1">
      <alignment horizontal="center" vertical="center"/>
    </xf>
    <xf numFmtId="0" fontId="19" fillId="0" borderId="52"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0" fillId="0" borderId="55" xfId="0" applyBorder="1" applyAlignment="1">
      <alignment horizontal="left" vertical="top" wrapText="1"/>
    </xf>
    <xf numFmtId="0" fontId="0" fillId="0" borderId="0" xfId="0" applyBorder="1" applyAlignment="1">
      <alignment horizontal="left" vertical="top" wrapText="1"/>
    </xf>
    <xf numFmtId="0" fontId="0" fillId="0" borderId="59" xfId="0" applyBorder="1" applyAlignment="1">
      <alignment horizontal="left" vertical="top" wrapText="1"/>
    </xf>
    <xf numFmtId="0" fontId="0" fillId="0" borderId="22" xfId="0" applyBorder="1" applyAlignment="1">
      <alignment horizontal="left" vertical="top" wrapText="1"/>
    </xf>
    <xf numFmtId="0" fontId="0" fillId="0" borderId="51" xfId="0" applyBorder="1" applyAlignment="1">
      <alignment horizontal="left" vertical="top" wrapText="1"/>
    </xf>
    <xf numFmtId="0" fontId="0" fillId="0" borderId="49" xfId="0" applyBorder="1" applyAlignment="1">
      <alignment horizontal="left" vertical="top" wrapText="1"/>
    </xf>
    <xf numFmtId="0" fontId="24" fillId="7" borderId="19" xfId="0" applyFont="1" applyFill="1" applyBorder="1" applyAlignment="1">
      <alignment horizontal="center" vertical="center"/>
    </xf>
    <xf numFmtId="0" fontId="25" fillId="7" borderId="20" xfId="0" applyFont="1" applyFill="1" applyBorder="1" applyAlignment="1">
      <alignment horizontal="center" vertical="center"/>
    </xf>
    <xf numFmtId="0" fontId="25" fillId="7" borderId="21" xfId="0" applyFont="1" applyFill="1" applyBorder="1" applyAlignment="1">
      <alignment horizontal="center" vertical="center"/>
    </xf>
    <xf numFmtId="0" fontId="23" fillId="7" borderId="19" xfId="0" applyNumberFormat="1" applyFont="1" applyFill="1" applyBorder="1" applyAlignment="1">
      <alignment horizontal="center" vertical="center"/>
    </xf>
    <xf numFmtId="0" fontId="23" fillId="7" borderId="20" xfId="0" applyNumberFormat="1" applyFont="1" applyFill="1" applyBorder="1" applyAlignment="1">
      <alignment horizontal="center" vertical="center"/>
    </xf>
    <xf numFmtId="0" fontId="23" fillId="7" borderId="21" xfId="0" applyNumberFormat="1" applyFont="1" applyFill="1" applyBorder="1" applyAlignment="1">
      <alignment horizontal="center" vertical="center"/>
    </xf>
    <xf numFmtId="0" fontId="24" fillId="7" borderId="52" xfId="0" applyFont="1" applyFill="1" applyBorder="1" applyAlignment="1">
      <alignment horizontal="center" vertical="center"/>
    </xf>
    <xf numFmtId="0" fontId="24" fillId="7" borderId="29" xfId="0" applyFont="1" applyFill="1" applyBorder="1" applyAlignment="1">
      <alignment horizontal="center" vertical="center"/>
    </xf>
    <xf numFmtId="0" fontId="24" fillId="7" borderId="28" xfId="0" applyFont="1" applyFill="1" applyBorder="1" applyAlignment="1">
      <alignment horizontal="center" vertical="center"/>
    </xf>
    <xf numFmtId="0" fontId="24" fillId="7" borderId="55"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59" xfId="0" applyFont="1" applyFill="1" applyBorder="1" applyAlignment="1">
      <alignment horizontal="center" vertical="center"/>
    </xf>
    <xf numFmtId="0" fontId="23" fillId="7" borderId="19" xfId="0" applyFont="1" applyFill="1" applyBorder="1" applyAlignment="1">
      <alignment horizontal="center" vertical="center"/>
    </xf>
    <xf numFmtId="0" fontId="23" fillId="7" borderId="21" xfId="0" applyFont="1" applyFill="1" applyBorder="1" applyAlignment="1">
      <alignment horizontal="center" vertical="center"/>
    </xf>
    <xf numFmtId="0" fontId="24" fillId="7" borderId="55" xfId="0" applyFont="1" applyFill="1" applyBorder="1" applyAlignment="1">
      <alignment horizontal="center"/>
    </xf>
    <xf numFmtId="0" fontId="24" fillId="7" borderId="0" xfId="0" applyFont="1" applyFill="1" applyBorder="1" applyAlignment="1">
      <alignment horizontal="center"/>
    </xf>
    <xf numFmtId="166" fontId="4" fillId="3" borderId="42" xfId="0" applyNumberFormat="1" applyFont="1" applyFill="1" applyBorder="1" applyAlignment="1">
      <alignment horizontal="center"/>
    </xf>
    <xf numFmtId="166" fontId="4" fillId="3" borderId="43" xfId="0" applyNumberFormat="1" applyFont="1" applyFill="1" applyBorder="1" applyAlignment="1">
      <alignment horizontal="center"/>
    </xf>
    <xf numFmtId="176" fontId="4" fillId="3" borderId="42" xfId="0" applyNumberFormat="1" applyFont="1" applyFill="1" applyBorder="1" applyAlignment="1">
      <alignment horizontal="center"/>
    </xf>
    <xf numFmtId="176" fontId="4" fillId="3" borderId="43" xfId="0" applyNumberFormat="1" applyFont="1" applyFill="1" applyBorder="1" applyAlignment="1">
      <alignment horizontal="center"/>
    </xf>
    <xf numFmtId="179" fontId="4" fillId="3" borderId="57" xfId="0" applyNumberFormat="1" applyFont="1" applyFill="1" applyBorder="1" applyAlignment="1">
      <alignment horizontal="center"/>
    </xf>
    <xf numFmtId="179" fontId="4" fillId="3" borderId="58" xfId="0" applyNumberFormat="1" applyFont="1" applyFill="1" applyBorder="1" applyAlignment="1">
      <alignment horizontal="center"/>
    </xf>
    <xf numFmtId="0" fontId="24" fillId="7" borderId="19" xfId="0" applyFont="1" applyFill="1" applyBorder="1" applyAlignment="1">
      <alignment horizontal="center"/>
    </xf>
    <xf numFmtId="0" fontId="24" fillId="7" borderId="21" xfId="0" applyFont="1" applyFill="1" applyBorder="1" applyAlignment="1">
      <alignment horizontal="center"/>
    </xf>
    <xf numFmtId="0" fontId="24" fillId="7" borderId="20" xfId="0" applyFont="1" applyFill="1" applyBorder="1" applyAlignment="1">
      <alignment horizontal="center"/>
    </xf>
    <xf numFmtId="0" fontId="27" fillId="5" borderId="19" xfId="0" applyFont="1" applyFill="1" applyBorder="1" applyAlignment="1">
      <alignment horizontal="center" vertical="center"/>
    </xf>
    <xf numFmtId="0" fontId="27" fillId="5" borderId="20" xfId="0" applyFont="1" applyFill="1" applyBorder="1" applyAlignment="1">
      <alignment horizontal="center" vertical="center"/>
    </xf>
    <xf numFmtId="0" fontId="27" fillId="5" borderId="21" xfId="0" applyFont="1" applyFill="1" applyBorder="1" applyAlignment="1">
      <alignment horizontal="center" vertical="center"/>
    </xf>
    <xf numFmtId="0" fontId="27" fillId="0" borderId="19" xfId="0" applyFont="1" applyBorder="1" applyAlignment="1" applyProtection="1">
      <alignment horizontal="right" vertical="center"/>
    </xf>
    <xf numFmtId="0" fontId="27" fillId="0" borderId="20" xfId="0" applyFont="1" applyBorder="1" applyAlignment="1" applyProtection="1">
      <alignment horizontal="right" vertical="center"/>
    </xf>
    <xf numFmtId="0" fontId="24" fillId="7" borderId="52" xfId="0" applyFont="1" applyFill="1" applyBorder="1" applyAlignment="1">
      <alignment horizontal="center"/>
    </xf>
    <xf numFmtId="0" fontId="24" fillId="7" borderId="29" xfId="0" applyFont="1" applyFill="1" applyBorder="1" applyAlignment="1">
      <alignment horizontal="center"/>
    </xf>
    <xf numFmtId="0" fontId="24" fillId="7" borderId="28" xfId="0" applyFont="1" applyFill="1" applyBorder="1" applyAlignment="1">
      <alignment horizontal="center"/>
    </xf>
    <xf numFmtId="0" fontId="24" fillId="7" borderId="20" xfId="0" applyFont="1" applyFill="1" applyBorder="1" applyAlignment="1">
      <alignment horizontal="center" vertical="center"/>
    </xf>
    <xf numFmtId="0" fontId="24" fillId="7" borderId="21" xfId="0" applyFont="1" applyFill="1" applyBorder="1" applyAlignment="1">
      <alignment horizontal="center" vertical="center"/>
    </xf>
    <xf numFmtId="0" fontId="24" fillId="7" borderId="7" xfId="0" applyFont="1" applyFill="1" applyBorder="1" applyAlignment="1" applyProtection="1">
      <alignment horizontal="center"/>
    </xf>
    <xf numFmtId="0" fontId="24" fillId="7" borderId="4" xfId="0" applyFont="1" applyFill="1" applyBorder="1" applyAlignment="1" applyProtection="1">
      <alignment horizontal="center"/>
    </xf>
    <xf numFmtId="0" fontId="24" fillId="7" borderId="8" xfId="0" applyFont="1" applyFill="1" applyBorder="1" applyAlignment="1" applyProtection="1">
      <alignment horizontal="center"/>
    </xf>
    <xf numFmtId="0" fontId="24" fillId="7" borderId="19" xfId="0" applyFont="1" applyFill="1" applyBorder="1" applyAlignment="1" applyProtection="1">
      <alignment horizontal="center"/>
    </xf>
    <xf numFmtId="0" fontId="24" fillId="7" borderId="20" xfId="0" applyFont="1" applyFill="1" applyBorder="1" applyAlignment="1" applyProtection="1">
      <alignment horizontal="center"/>
    </xf>
  </cellXfs>
  <cellStyles count="2">
    <cellStyle name="Normal" xfId="0" builtinId="0"/>
    <cellStyle name="Pourcentage" xfId="1" builtinId="5"/>
  </cellStyles>
  <dxfs count="155">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theme="0" tint="-0.34998626667073579"/>
        </patternFill>
      </fill>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theme="0" tint="-0.34998626667073579"/>
        </patternFill>
      </fill>
    </dxf>
    <dxf>
      <border>
        <top style="thin">
          <color auto="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dxf>
    <dxf>
      <border>
        <bottom style="thin">
          <color auto="1"/>
        </bottom>
      </border>
    </dxf>
    <dxf>
      <font>
        <strike val="0"/>
        <outline val="0"/>
        <shadow val="0"/>
        <u val="none"/>
        <vertAlign val="baseline"/>
        <sz val="14"/>
        <color auto="1"/>
        <name val="Calibri"/>
        <scheme val="minor"/>
      </font>
      <fill>
        <patternFill patternType="solid">
          <fgColor indexed="64"/>
          <bgColor rgb="FFF0AC62"/>
        </patternFill>
      </fill>
      <border diagonalUp="0" diagonalDown="0" outline="0">
        <left style="thin">
          <color auto="1"/>
        </left>
        <right style="thin">
          <color auto="1"/>
        </right>
        <top/>
        <bottom/>
      </border>
    </dxf>
    <dxf>
      <numFmt numFmtId="174" formatCode="#0.00\ &quot;€/T&quot;"/>
    </dxf>
    <dxf>
      <numFmt numFmtId="178" formatCode="#0.00\ &quot;Kg de DVE/T de MS&quot;"/>
    </dxf>
    <dxf>
      <numFmt numFmtId="177" formatCode="#0.00\ &quot;VEM/T de MS&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5" formatCode="#,##0.00\ &quot;€&quot;"/>
      <protection locked="1" hidden="0"/>
    </dxf>
    <dxf>
      <numFmt numFmtId="174" formatCode="#0.00\ &quot;€/T&quot;"/>
    </dxf>
    <dxf>
      <font>
        <b val="0"/>
        <i val="0"/>
        <strike val="0"/>
        <condense val="0"/>
        <extend val="0"/>
        <outline val="0"/>
        <shadow val="0"/>
        <u val="none"/>
        <vertAlign val="baseline"/>
        <sz val="14"/>
        <color theme="1"/>
        <name val="Calibri"/>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protection locked="1" hidden="0"/>
    </dxf>
    <dxf>
      <numFmt numFmtId="178" formatCode="#0.00\ &quot;Kg de DVE/T de MS&quot;"/>
    </dxf>
    <dxf>
      <font>
        <b val="0"/>
        <i val="0"/>
        <strike val="0"/>
        <condense val="0"/>
        <extend val="0"/>
        <outline val="0"/>
        <shadow val="0"/>
        <u val="none"/>
        <vertAlign val="baseline"/>
        <sz val="14"/>
        <color theme="1"/>
        <name val="Calibri"/>
        <scheme val="minor"/>
      </font>
      <numFmt numFmtId="166" formatCode="#0.00\ &quot;VEM&quot;"/>
      <fill>
        <patternFill patternType="solid">
          <fgColor indexed="64"/>
          <bgColor rgb="FF92D050"/>
        </patternFill>
      </fill>
      <alignment horizontal="center" vertical="bottom" textRotation="0" wrapText="0" indent="0" justifyLastLine="0" shrinkToFit="0" readingOrder="0"/>
      <protection locked="1" hidden="0"/>
    </dxf>
    <dxf>
      <numFmt numFmtId="195" formatCode="#0.00\ &quot;VEM/kg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4" formatCode="#0.00\ &quot;€/T&quot;"/>
      <protection locked="1" hidden="0"/>
    </dxf>
    <dxf>
      <numFmt numFmtId="174" formatCode="#0.00\ &quot;€/T&quot;"/>
    </dxf>
    <dxf>
      <font>
        <b val="0"/>
        <i val="0"/>
        <strike val="0"/>
        <condense val="0"/>
        <extend val="0"/>
        <outline val="0"/>
        <shadow val="0"/>
        <u val="none"/>
        <vertAlign val="baseline"/>
        <sz val="14"/>
        <color theme="1"/>
        <name val="Calibri"/>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protection locked="1" hidden="0"/>
    </dxf>
    <dxf>
      <numFmt numFmtId="178" formatCode="#0.00\ &quot;Kg de DVE/T de MS&quot;"/>
    </dxf>
    <dxf>
      <font>
        <b val="0"/>
        <i val="0"/>
        <strike val="0"/>
        <condense val="0"/>
        <extend val="0"/>
        <outline val="0"/>
        <shadow val="0"/>
        <u val="none"/>
        <vertAlign val="baseline"/>
        <sz val="14"/>
        <color theme="1"/>
        <name val="Calibri"/>
        <scheme val="minor"/>
      </font>
      <numFmt numFmtId="166" formatCode="#0.00\ &quot;VEM&quot;"/>
      <fill>
        <patternFill patternType="solid">
          <fgColor indexed="64"/>
          <bgColor rgb="FF92D050"/>
        </patternFill>
      </fill>
      <alignment horizontal="center" vertical="bottom" textRotation="0" wrapText="0" indent="0" justifyLastLine="0" shrinkToFit="0" readingOrder="0"/>
      <protection locked="1" hidden="0"/>
    </dxf>
    <dxf>
      <numFmt numFmtId="195" formatCode="#0.00\ &quot;VEM/kg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rgb="FFF0AC62"/>
        </patternFill>
      </fill>
      <alignment horizontal="center" vertical="bottom" textRotation="0" wrapText="1" indent="0" justifyLastLine="0" shrinkToFit="0" readingOrder="0"/>
      <border diagonalUp="0" diagonalDown="0" outline="0">
        <left style="thin">
          <color auto="1"/>
        </left>
        <right style="thin">
          <color auto="1"/>
        </right>
        <top/>
        <bottom/>
      </border>
    </dxf>
    <dxf>
      <numFmt numFmtId="174" formatCode="#0.00\ &quot;€/T&quot;"/>
      <protection locked="1" hidden="0"/>
    </dxf>
    <dxf>
      <numFmt numFmtId="174" formatCode="#0.00\ &quot;€/T&quot;"/>
    </dxf>
    <dxf>
      <font>
        <b val="0"/>
        <i val="0"/>
        <strike val="0"/>
        <condense val="0"/>
        <extend val="0"/>
        <outline val="0"/>
        <shadow val="0"/>
        <u val="none"/>
        <vertAlign val="baseline"/>
        <sz val="14"/>
        <color theme="1"/>
        <name val="Calibri"/>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protection locked="1" hidden="0"/>
    </dxf>
    <dxf>
      <numFmt numFmtId="178" formatCode="#0.00\ &quot;Kg de DVE/T de MS&quot;"/>
    </dxf>
    <dxf>
      <font>
        <b val="0"/>
        <i val="0"/>
        <strike val="0"/>
        <condense val="0"/>
        <extend val="0"/>
        <outline val="0"/>
        <shadow val="0"/>
        <u val="none"/>
        <vertAlign val="baseline"/>
        <sz val="14"/>
        <color theme="1"/>
        <name val="Calibri"/>
        <scheme val="minor"/>
      </font>
      <numFmt numFmtId="166" formatCode="#0.00\ &quot;VEM&quot;"/>
      <fill>
        <patternFill patternType="solid">
          <fgColor indexed="64"/>
          <bgColor rgb="FF92D050"/>
        </patternFill>
      </fill>
      <alignment horizontal="center" vertical="bottom" textRotation="0" wrapText="0" indent="0" justifyLastLine="0" shrinkToFit="0" readingOrder="0"/>
      <protection locked="1" hidden="0"/>
    </dxf>
    <dxf>
      <numFmt numFmtId="195" formatCode="#0.00\ &quot;VEM/kg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4" formatCode="#0.00\ &quot;€/T&quot;"/>
      <protection locked="1" hidden="0"/>
    </dxf>
    <dxf>
      <numFmt numFmtId="174" formatCode="#0.00\ &quot;€/T&quot;"/>
    </dxf>
    <dxf>
      <font>
        <b val="0"/>
        <i val="0"/>
        <strike val="0"/>
        <condense val="0"/>
        <extend val="0"/>
        <outline val="0"/>
        <shadow val="0"/>
        <u val="none"/>
        <vertAlign val="baseline"/>
        <sz val="14"/>
        <color theme="1"/>
        <name val="Calibri"/>
        <scheme val="minor"/>
      </font>
      <numFmt numFmtId="179" formatCode="#0.00\ &quot;Kg de DVE&quot;"/>
      <fill>
        <patternFill patternType="solid">
          <fgColor indexed="64"/>
          <bgColor theme="7" tint="0.59999389629810485"/>
        </patternFill>
      </fill>
      <alignment horizontal="center" vertical="bottom" textRotation="0" wrapText="0" indent="0" justifyLastLine="0" shrinkToFit="0" readingOrder="0"/>
      <protection locked="1" hidden="0"/>
    </dxf>
    <dxf>
      <numFmt numFmtId="178" formatCode="#0.00\ &quot;Kg de DVE/T de MS&quot;"/>
    </dxf>
    <dxf>
      <font>
        <b val="0"/>
        <i val="0"/>
        <strike val="0"/>
        <condense val="0"/>
        <extend val="0"/>
        <outline val="0"/>
        <shadow val="0"/>
        <u val="none"/>
        <vertAlign val="baseline"/>
        <sz val="14"/>
        <color theme="1"/>
        <name val="Calibri"/>
        <scheme val="minor"/>
      </font>
      <numFmt numFmtId="166" formatCode="#0.00\ &quot;VEM&quot;"/>
      <fill>
        <patternFill patternType="solid">
          <fgColor indexed="64"/>
          <bgColor rgb="FF92D050"/>
        </patternFill>
      </fill>
      <alignment horizontal="center" vertical="bottom" textRotation="0" wrapText="0" indent="0" justifyLastLine="0" shrinkToFit="0" readingOrder="0"/>
      <protection locked="1" hidden="0"/>
    </dxf>
    <dxf>
      <numFmt numFmtId="195" formatCode="#0.00\ &quot;VEM/kg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5" formatCode="#,##0.00\ &quot;€&quot;"/>
      <protection locked="1" hidden="0"/>
    </dxf>
    <dxf>
      <numFmt numFmtId="174" formatCode="#0.00\ &quot;€/T&quot;"/>
    </dxf>
    <dxf>
      <font>
        <b val="0"/>
        <i val="0"/>
        <strike val="0"/>
        <condense val="0"/>
        <extend val="0"/>
        <outline val="0"/>
        <shadow val="0"/>
        <u val="none"/>
        <vertAlign val="baseline"/>
        <sz val="14"/>
        <color theme="1"/>
        <name val="Calibri"/>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protection locked="1" hidden="0"/>
    </dxf>
    <dxf>
      <numFmt numFmtId="178" formatCode="#0.00\ &quot;Kg de DVE/T de MS&quot;"/>
    </dxf>
    <dxf>
      <font>
        <b val="0"/>
        <i val="0"/>
        <strike val="0"/>
        <condense val="0"/>
        <extend val="0"/>
        <outline val="0"/>
        <shadow val="0"/>
        <u val="none"/>
        <vertAlign val="baseline"/>
        <sz val="14"/>
        <color theme="1"/>
        <name val="Calibri"/>
        <scheme val="minor"/>
      </font>
      <numFmt numFmtId="166" formatCode="#0.00\ &quot;VEM&quot;"/>
      <fill>
        <patternFill patternType="solid">
          <fgColor indexed="64"/>
          <bgColor rgb="FF92D050"/>
        </patternFill>
      </fill>
      <alignment horizontal="center" vertical="bottom" textRotation="0" wrapText="0" indent="0" justifyLastLine="0" shrinkToFit="0" readingOrder="0"/>
      <protection locked="1" hidden="0"/>
    </dxf>
    <dxf>
      <numFmt numFmtId="195" formatCode="#0.00\ &quot;VEM/kg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4"/>
        <color theme="1"/>
        <name val="Calibri"/>
        <scheme val="minor"/>
      </font>
      <numFmt numFmtId="0" formatCode="General"/>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numFmt numFmtId="0" formatCode="General"/>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numFmt numFmtId="175" formatCode="#,##0.00\ &quot;€&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fill>
        <patternFill patternType="solid">
          <fgColor indexed="64"/>
          <bgColor theme="0" tint="-0.249977111117893"/>
        </patternFill>
      </fill>
      <border diagonalUp="0" diagonalDown="0">
        <left/>
        <right style="thin">
          <color auto="1"/>
        </right>
        <top style="thin">
          <color auto="1"/>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outline="0">
        <left style="thin">
          <color auto="1"/>
        </left>
        <right style="thin">
          <color auto="1"/>
        </right>
        <top/>
        <bottom/>
      </border>
    </dxf>
    <dxf>
      <fill>
        <patternFill patternType="solid">
          <fgColor indexed="64"/>
          <bgColor theme="0" tint="-0.249977111117893"/>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ill>
        <patternFill patternType="solid">
          <fgColor indexed="64"/>
          <bgColor theme="0" tint="-0.249977111117893"/>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16"/>
        <color auto="1"/>
        <name val="Calibri"/>
        <scheme val="minor"/>
      </font>
      <fill>
        <patternFill patternType="solid">
          <fgColor indexed="64"/>
          <bgColor rgb="FFF0AC62"/>
        </patternFill>
      </fill>
      <border diagonalUp="0" diagonalDown="0" outline="0">
        <left style="thin">
          <color auto="1"/>
        </left>
        <right style="thin">
          <color auto="1"/>
        </right>
        <top/>
        <bottom/>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fill>
        <patternFill patternType="solid">
          <fgColor indexed="64"/>
          <bgColor rgb="FF92D05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fill>
        <patternFill patternType="solid">
          <fgColor indexed="64"/>
          <bgColor theme="0" tint="-0.34998626667073579"/>
        </patternFill>
      </fill>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left style="thin">
          <color auto="1"/>
        </left>
        <right style="thin">
          <color auto="1"/>
        </right>
        <top/>
        <bottom/>
      </border>
      <protection locked="1" hidden="0"/>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4"/>
        <color theme="1"/>
        <name val="Calibri"/>
        <scheme val="minor"/>
      </font>
      <fill>
        <patternFill patternType="solid">
          <fgColor indexed="64"/>
          <bgColor rgb="FF92D050"/>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4"/>
        <color theme="1"/>
        <name val="Calibri"/>
        <scheme val="minor"/>
      </font>
      <fill>
        <patternFill patternType="solid">
          <fgColor indexed="64"/>
          <bgColor theme="0" tint="-0.34998626667073579"/>
        </patternFill>
      </fill>
      <border diagonalUp="0" diagonalDown="0">
        <left/>
        <right/>
        <top style="medium">
          <color auto="1"/>
        </top>
        <bottom style="medium">
          <color auto="1"/>
        </bottom>
        <vertical/>
        <horizontal style="medium">
          <color auto="1"/>
        </horizontal>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4"/>
        <color auto="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4"/>
        <color theme="1"/>
        <name val="Calibri"/>
        <scheme val="minor"/>
      </font>
      <fill>
        <patternFill patternType="solid">
          <fgColor indexed="64"/>
          <bgColor theme="0" tint="-0.34998626667073579"/>
        </patternFill>
      </fill>
      <border diagonalUp="0" diagonalDown="0">
        <left/>
        <right style="thin">
          <color auto="1"/>
        </right>
        <top style="thin">
          <color auto="1"/>
        </top>
        <bottom/>
        <vertical/>
        <horizontal/>
      </border>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0AC62"/>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8" formatCode="#0.00\ &quot;Kg de DVE/T de MS&quot;"/>
      <border diagonalUp="0" diagonalDown="0">
        <left style="medium">
          <color indexed="64"/>
        </left>
        <right style="medium">
          <color indexed="64"/>
        </right>
        <vertical/>
      </border>
      <protection locked="1" hidden="0"/>
    </dxf>
    <dxf>
      <numFmt numFmtId="178" formatCode="#0.00\ &quot;Kg de DVE/T de MS&quot;"/>
    </dxf>
    <dxf>
      <font>
        <b val="0"/>
        <i val="0"/>
        <strike val="0"/>
        <condense val="0"/>
        <extend val="0"/>
        <outline val="0"/>
        <shadow val="0"/>
        <u val="none"/>
        <vertAlign val="baseline"/>
        <sz val="14"/>
        <color theme="1"/>
        <name val="Calibri"/>
        <scheme val="minor"/>
      </font>
      <numFmt numFmtId="177" formatCode="#0.00\ &quot;VEM/T de MS&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numFmt numFmtId="177" formatCode="#0.00\ &quot;VEM/T de MS&quot;"/>
    </dxf>
    <dxf>
      <numFmt numFmtId="165" formatCode="#0.00\ &quot;T&quo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0AC62"/>
        </patternFill>
      </fill>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4"/>
        <name val="Calibri"/>
        <scheme val="minor"/>
      </font>
      <numFmt numFmtId="165" formatCode="#0.00\ &quot;T&quot;"/>
      <fill>
        <patternFill patternType="solid">
          <fgColor indexed="64"/>
          <bgColor theme="7" tint="0.59999389629810485"/>
        </patternFill>
      </fill>
      <alignment horizontal="left" vertical="center" textRotation="0" wrapText="0" indent="0" justifyLastLine="0" shrinkToFit="0" readingOrder="0"/>
      <border diagonalUp="0" diagonalDown="0">
        <left style="thin">
          <color auto="1"/>
        </left>
        <right style="medium">
          <color indexed="64"/>
        </right>
        <top style="thin">
          <color auto="1"/>
        </top>
        <bottom style="thin">
          <color auto="1"/>
        </bottom>
      </border>
    </dxf>
    <dxf>
      <font>
        <b/>
        <strike val="0"/>
        <outline val="0"/>
        <shadow val="0"/>
        <u val="none"/>
        <vertAlign val="baseline"/>
        <sz val="14"/>
        <name val="Calibri"/>
        <scheme val="minor"/>
      </font>
      <fill>
        <patternFill patternType="solid">
          <fgColor indexed="64"/>
          <bgColor theme="7" tint="0.59999389629810485"/>
        </patternFill>
      </fill>
      <alignment horizontal="left" vertical="center" textRotation="0" wrapText="0" indent="0" justifyLastLine="0" shrinkToFit="0" readingOrder="0"/>
      <border diagonalUp="0" diagonalDown="0">
        <left style="medium">
          <color indexed="64"/>
        </left>
        <right style="thin">
          <color auto="1"/>
        </right>
        <top style="thin">
          <color auto="1"/>
        </top>
        <bottom style="thin">
          <color auto="1"/>
        </bottom>
      </border>
    </dxf>
    <dxf>
      <font>
        <strike val="0"/>
        <outline val="0"/>
        <shadow val="0"/>
        <u val="none"/>
        <vertAlign val="baseline"/>
        <sz val="14"/>
        <name val="Calibri"/>
        <scheme val="minor"/>
      </font>
      <numFmt numFmtId="165" formatCode="#0.00\ &quot;T&quot;"/>
      <fill>
        <patternFill patternType="solid">
          <fgColor indexed="64"/>
          <bgColor theme="7" tint="0.59999389629810485"/>
        </patternFill>
      </fill>
      <alignment horizontal="left" vertical="center" textRotation="0" wrapText="0" indent="0" justifyLastLine="0" shrinkToFit="0" readingOrder="0"/>
      <border diagonalUp="0" diagonalDown="0">
        <left style="thin">
          <color auto="1"/>
        </left>
        <right style="medium">
          <color indexed="64"/>
        </right>
        <top style="thin">
          <color auto="1"/>
        </top>
        <bottom style="thin">
          <color auto="1"/>
        </bottom>
      </border>
    </dxf>
    <dxf>
      <font>
        <b/>
        <strike val="0"/>
        <outline val="0"/>
        <shadow val="0"/>
        <u val="none"/>
        <vertAlign val="baseline"/>
        <sz val="14"/>
        <name val="Calibri"/>
        <scheme val="minor"/>
      </font>
      <fill>
        <patternFill patternType="solid">
          <fgColor indexed="64"/>
          <bgColor theme="7" tint="0.59999389629810485"/>
        </patternFill>
      </fill>
      <alignment horizontal="left" vertical="center" textRotation="0" wrapText="0" indent="0" justifyLastLine="0" shrinkToFit="0" readingOrder="0"/>
      <border diagonalUp="0" diagonalDown="0">
        <left style="medium">
          <color indexed="64"/>
        </left>
        <right style="thin">
          <color auto="1"/>
        </right>
        <top style="thin">
          <color auto="1"/>
        </top>
        <bottom style="thin">
          <color auto="1"/>
        </bottom>
      </border>
    </dxf>
    <dxf>
      <font>
        <strike val="0"/>
        <outline val="0"/>
        <shadow val="0"/>
        <u val="none"/>
        <vertAlign val="baseline"/>
        <sz val="14"/>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left style="medium">
          <color indexed="64"/>
        </left>
        <right style="medium">
          <color indexed="64"/>
        </right>
        <top style="thin">
          <color auto="1"/>
        </top>
        <bottom style="thin">
          <color auto="1"/>
        </bottom>
      </border>
    </dxf>
    <dxf>
      <font>
        <strike val="0"/>
        <outline val="0"/>
        <shadow val="0"/>
        <u val="none"/>
        <vertAlign val="baseline"/>
        <sz val="14"/>
        <name val="Calibri"/>
        <scheme val="minor"/>
      </font>
      <alignment horizontal="left"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0AC62"/>
        </patternFill>
      </fill>
      <alignment horizontal="left" vertical="center" textRotation="0" wrapText="0" indent="0" justifyLastLine="0" shrinkToFit="0" readingOrder="0"/>
    </dxf>
    <dxf>
      <numFmt numFmtId="164" formatCode="#0.00\ &quot;Ha&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strike val="0"/>
        <outline val="0"/>
        <shadow val="0"/>
        <u val="none"/>
        <vertAlign val="baseline"/>
        <sz val="16"/>
        <color auto="1"/>
        <name val="Calibri"/>
        <scheme val="minor"/>
      </font>
      <fill>
        <patternFill patternType="solid">
          <fgColor indexed="64"/>
          <bgColor rgb="FFF0AC62"/>
        </patternFill>
      </fill>
    </dxf>
    <dxf>
      <font>
        <b val="0"/>
        <i val="0"/>
        <strike val="0"/>
        <condense val="0"/>
        <extend val="0"/>
        <outline val="0"/>
        <shadow val="0"/>
        <u val="none"/>
        <vertAlign val="baseline"/>
        <sz val="9"/>
        <color theme="1"/>
        <name val="Calibri"/>
        <scheme val="minor"/>
      </font>
      <numFmt numFmtId="179" formatCode="#0.00\ &quot;Kg de DVE&quot;"/>
      <fill>
        <patternFill patternType="solid">
          <fgColor indexed="64"/>
          <bgColor rgb="FF92D05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val="0"/>
        <i val="0"/>
        <strike val="0"/>
        <condense val="0"/>
        <extend val="0"/>
        <outline val="0"/>
        <shadow val="0"/>
        <u val="none"/>
        <vertAlign val="baseline"/>
        <sz val="9"/>
        <color theme="1"/>
        <name val="Calibri"/>
        <scheme val="minor"/>
      </font>
      <numFmt numFmtId="2" formatCode="0.00"/>
      <fill>
        <patternFill patternType="solid">
          <fgColor indexed="64"/>
          <bgColor rgb="FF92D05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66" formatCode="#0.00\ &quot;VEM&quot;"/>
      <fill>
        <patternFill patternType="solid">
          <fgColor indexed="64"/>
          <bgColor rgb="FF92D05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val="0"/>
        <i val="0"/>
        <strike val="0"/>
        <condense val="0"/>
        <extend val="0"/>
        <outline val="0"/>
        <shadow val="0"/>
        <u val="none"/>
        <vertAlign val="baseline"/>
        <sz val="9"/>
        <color theme="1"/>
        <name val="Calibri"/>
        <scheme val="minor"/>
      </font>
      <numFmt numFmtId="195" formatCode="#0.00\ &quot;VEM/kg de MS&quot;"/>
      <fill>
        <patternFill patternType="solid">
          <fgColor indexed="64"/>
          <bgColor rgb="FF92D05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2" formatCode="0.00"/>
      <fill>
        <patternFill patternType="solid">
          <fgColor indexed="64"/>
          <bgColor theme="0" tint="-0.34998626667073579"/>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4" formatCode="0.00%"/>
      <fill>
        <patternFill patternType="solid">
          <fgColor indexed="64"/>
          <bgColor rgb="FF92D05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2" formatCode="0.00"/>
      <fill>
        <patternFill patternType="solid">
          <fgColor indexed="64"/>
          <bgColor theme="0" tint="-0.34998626667073579"/>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81" formatCode="#0.00\ &quot;T/Ha&quot;"/>
      <fill>
        <patternFill patternType="solid">
          <fgColor indexed="64"/>
          <bgColor rgb="FF92D05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64" formatCode="#0.00\ &quot;Ha&quot;"/>
      <fill>
        <patternFill patternType="solid">
          <fgColor indexed="64"/>
          <bgColor rgb="FF92D05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thin">
          <color auto="1"/>
        </right>
        <top style="thin">
          <color auto="1"/>
        </top>
        <bottom/>
        <vertical/>
        <horizontal/>
      </border>
    </dxf>
    <dxf>
      <border outline="0">
        <top style="medium">
          <color indexed="64"/>
        </top>
        <bottom style="medium">
          <color indexed="64"/>
        </bottom>
      </border>
    </dxf>
    <dxf>
      <font>
        <strike val="0"/>
        <outline val="0"/>
        <shadow val="0"/>
        <vertAlign val="baseline"/>
        <sz val="9"/>
        <name val="Calibri"/>
        <scheme val="minor"/>
      </font>
      <alignment horizontal="left"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4"/>
        <color auto="1"/>
        <name val="Calibri"/>
        <scheme val="minor"/>
      </font>
      <fill>
        <patternFill patternType="solid">
          <fgColor indexed="64"/>
          <bgColor theme="5" tint="0.39997558519241921"/>
        </patternFill>
      </fill>
      <alignment horizontal="left"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C2E49C"/>
      <color rgb="FF02BBE0"/>
      <color rgb="FFB3FFFF"/>
      <color rgb="FFB08600"/>
      <color rgb="FFF0AC62"/>
      <color rgb="FF622C0A"/>
      <color rgb="FFA80000"/>
      <color rgb="FFEAB200"/>
      <color rgb="FFFF6600"/>
      <color rgb="FFE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272098</xdr:colOff>
      <xdr:row>5</xdr:row>
      <xdr:rowOff>179151</xdr:rowOff>
    </xdr:from>
    <xdr:to>
      <xdr:col>11</xdr:col>
      <xdr:colOff>904875</xdr:colOff>
      <xdr:row>31</xdr:row>
      <xdr:rowOff>23521</xdr:rowOff>
    </xdr:to>
    <xdr:pic>
      <xdr:nvPicPr>
        <xdr:cNvPr id="3" name="Image 2">
          <a:extLst>
            <a:ext uri="{FF2B5EF4-FFF2-40B4-BE49-F238E27FC236}">
              <a16:creationId xmlns:a16="http://schemas.microsoft.com/office/drawing/2014/main" id="{11B6BB41-217F-45D6-A0ED-D9BEBE1A0C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25023" y="1007826"/>
          <a:ext cx="5766752" cy="4549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23</xdr:row>
      <xdr:rowOff>167640</xdr:rowOff>
    </xdr:from>
    <xdr:to>
      <xdr:col>9</xdr:col>
      <xdr:colOff>541020</xdr:colOff>
      <xdr:row>26</xdr:row>
      <xdr:rowOff>7165</xdr:rowOff>
    </xdr:to>
    <xdr:sp macro="" textlink="">
      <xdr:nvSpPr>
        <xdr:cNvPr id="55" name="Flèche vers le bas 54"/>
        <xdr:cNvSpPr/>
      </xdr:nvSpPr>
      <xdr:spPr>
        <a:xfrm rot="16200000">
          <a:off x="7246847" y="4335553"/>
          <a:ext cx="388165" cy="464820"/>
        </a:xfrm>
        <a:prstGeom prst="downArrow">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723900</xdr:colOff>
      <xdr:row>23</xdr:row>
      <xdr:rowOff>83820</xdr:rowOff>
    </xdr:from>
    <xdr:to>
      <xdr:col>13</xdr:col>
      <xdr:colOff>373380</xdr:colOff>
      <xdr:row>26</xdr:row>
      <xdr:rowOff>7620</xdr:rowOff>
    </xdr:to>
    <xdr:grpSp>
      <xdr:nvGrpSpPr>
        <xdr:cNvPr id="56" name="Groupe 55"/>
        <xdr:cNvGrpSpPr/>
      </xdr:nvGrpSpPr>
      <xdr:grpSpPr>
        <a:xfrm>
          <a:off x="7856220" y="4290060"/>
          <a:ext cx="2819400" cy="472440"/>
          <a:chOff x="1859280" y="1310640"/>
          <a:chExt cx="2819400" cy="472440"/>
        </a:xfrm>
      </xdr:grpSpPr>
      <xdr:sp macro="" textlink="">
        <xdr:nvSpPr>
          <xdr:cNvPr id="57" name="ZoneTexte 56"/>
          <xdr:cNvSpPr txBox="1"/>
        </xdr:nvSpPr>
        <xdr:spPr>
          <a:xfrm>
            <a:off x="1859280" y="1310640"/>
            <a:ext cx="2819400" cy="472440"/>
          </a:xfrm>
          <a:prstGeom prst="round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chemeClr val="bg1"/>
                </a:solidFill>
              </a:rPr>
              <a:t> 12  Niveau</a:t>
            </a:r>
            <a:r>
              <a:rPr lang="en-US" sz="2000" b="1" baseline="0">
                <a:solidFill>
                  <a:schemeClr val="bg1"/>
                </a:solidFill>
              </a:rPr>
              <a:t> d'autonomie</a:t>
            </a:r>
            <a:endParaRPr lang="en-US" sz="900" b="1">
              <a:solidFill>
                <a:schemeClr val="bg1"/>
              </a:solidFill>
            </a:endParaRPr>
          </a:p>
        </xdr:txBody>
      </xdr:sp>
      <xdr:sp macro="" textlink="">
        <xdr:nvSpPr>
          <xdr:cNvPr id="58" name="Organigramme : Connecteur 57"/>
          <xdr:cNvSpPr/>
        </xdr:nvSpPr>
        <xdr:spPr>
          <a:xfrm>
            <a:off x="1981200" y="1386840"/>
            <a:ext cx="350520" cy="320040"/>
          </a:xfrm>
          <a:prstGeom prst="flowChartConnector">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251460</xdr:colOff>
      <xdr:row>23</xdr:row>
      <xdr:rowOff>91440</xdr:rowOff>
    </xdr:from>
    <xdr:to>
      <xdr:col>4</xdr:col>
      <xdr:colOff>678180</xdr:colOff>
      <xdr:row>25</xdr:row>
      <xdr:rowOff>152400</xdr:rowOff>
    </xdr:to>
    <xdr:sp macro="" textlink="">
      <xdr:nvSpPr>
        <xdr:cNvPr id="60" name="Plus 59"/>
        <xdr:cNvSpPr/>
      </xdr:nvSpPr>
      <xdr:spPr>
        <a:xfrm>
          <a:off x="3421380" y="4297680"/>
          <a:ext cx="426720" cy="426720"/>
        </a:xfrm>
        <a:prstGeom prst="mathPlus">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23</xdr:row>
      <xdr:rowOff>83820</xdr:rowOff>
    </xdr:from>
    <xdr:to>
      <xdr:col>6</xdr:col>
      <xdr:colOff>274320</xdr:colOff>
      <xdr:row>26</xdr:row>
      <xdr:rowOff>7620</xdr:rowOff>
    </xdr:to>
    <xdr:sp macro="" textlink="">
      <xdr:nvSpPr>
        <xdr:cNvPr id="61" name="ZoneTexte 60"/>
        <xdr:cNvSpPr txBox="1"/>
      </xdr:nvSpPr>
      <xdr:spPr>
        <a:xfrm>
          <a:off x="3962400" y="4290060"/>
          <a:ext cx="1066800" cy="472440"/>
        </a:xfrm>
        <a:prstGeom prst="roundRect">
          <a:avLst/>
        </a:prstGeom>
        <a:solidFill>
          <a:schemeClr val="accent2">
            <a:lumMod val="7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chemeClr val="bg1"/>
              </a:solidFill>
            </a:rPr>
            <a:t>Besoins</a:t>
          </a:r>
          <a:endParaRPr lang="en-US" sz="900" b="1">
            <a:solidFill>
              <a:schemeClr val="bg1"/>
            </a:solidFill>
          </a:endParaRPr>
        </a:p>
      </xdr:txBody>
    </xdr:sp>
    <xdr:clientData/>
  </xdr:twoCellAnchor>
  <xdr:twoCellAnchor>
    <xdr:from>
      <xdr:col>6</xdr:col>
      <xdr:colOff>350520</xdr:colOff>
      <xdr:row>23</xdr:row>
      <xdr:rowOff>91440</xdr:rowOff>
    </xdr:from>
    <xdr:to>
      <xdr:col>6</xdr:col>
      <xdr:colOff>777240</xdr:colOff>
      <xdr:row>25</xdr:row>
      <xdr:rowOff>152400</xdr:rowOff>
    </xdr:to>
    <xdr:sp macro="" textlink="">
      <xdr:nvSpPr>
        <xdr:cNvPr id="62" name="Plus 61"/>
        <xdr:cNvSpPr/>
      </xdr:nvSpPr>
      <xdr:spPr>
        <a:xfrm>
          <a:off x="5105400" y="4297680"/>
          <a:ext cx="426720" cy="426720"/>
        </a:xfrm>
        <a:prstGeom prst="mathPlus">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114300</xdr:colOff>
      <xdr:row>23</xdr:row>
      <xdr:rowOff>83820</xdr:rowOff>
    </xdr:from>
    <xdr:to>
      <xdr:col>8</xdr:col>
      <xdr:colOff>716280</xdr:colOff>
      <xdr:row>26</xdr:row>
      <xdr:rowOff>7620</xdr:rowOff>
    </xdr:to>
    <xdr:grpSp>
      <xdr:nvGrpSpPr>
        <xdr:cNvPr id="63" name="Groupe 62"/>
        <xdr:cNvGrpSpPr/>
      </xdr:nvGrpSpPr>
      <xdr:grpSpPr>
        <a:xfrm>
          <a:off x="5661660" y="4290060"/>
          <a:ext cx="1394460" cy="472440"/>
          <a:chOff x="1859280" y="1310640"/>
          <a:chExt cx="1394460" cy="472440"/>
        </a:xfrm>
      </xdr:grpSpPr>
      <xdr:sp macro="" textlink="">
        <xdr:nvSpPr>
          <xdr:cNvPr id="64" name="ZoneTexte 63"/>
          <xdr:cNvSpPr txBox="1"/>
        </xdr:nvSpPr>
        <xdr:spPr>
          <a:xfrm>
            <a:off x="1859280" y="1310640"/>
            <a:ext cx="1394460" cy="472440"/>
          </a:xfrm>
          <a:prstGeom prst="roundRect">
            <a:avLst/>
          </a:prstGeom>
          <a:solidFill>
            <a:schemeClr val="accent4"/>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10  Achats</a:t>
            </a:r>
            <a:endParaRPr lang="en-US" sz="900" b="1">
              <a:solidFill>
                <a:sysClr val="windowText" lastClr="000000"/>
              </a:solidFill>
            </a:endParaRPr>
          </a:p>
        </xdr:txBody>
      </xdr:sp>
      <xdr:sp macro="" textlink="">
        <xdr:nvSpPr>
          <xdr:cNvPr id="65" name="Organigramme : Connecteur 64"/>
          <xdr:cNvSpPr/>
        </xdr:nvSpPr>
        <xdr:spPr>
          <a:xfrm>
            <a:off x="1981200" y="1386840"/>
            <a:ext cx="350520" cy="32004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7</xdr:col>
      <xdr:colOff>64544</xdr:colOff>
      <xdr:row>8</xdr:row>
      <xdr:rowOff>99286</xdr:rowOff>
    </xdr:from>
    <xdr:to>
      <xdr:col>7</xdr:col>
      <xdr:colOff>529364</xdr:colOff>
      <xdr:row>10</xdr:row>
      <xdr:rowOff>121691</xdr:rowOff>
    </xdr:to>
    <xdr:sp macro="" textlink="">
      <xdr:nvSpPr>
        <xdr:cNvPr id="67" name="Flèche vers le bas 66"/>
        <xdr:cNvSpPr/>
      </xdr:nvSpPr>
      <xdr:spPr>
        <a:xfrm rot="16200000">
          <a:off x="5650231" y="1523999"/>
          <a:ext cx="388165" cy="464820"/>
        </a:xfrm>
        <a:prstGeom prst="downArrow">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304801</xdr:colOff>
      <xdr:row>8</xdr:row>
      <xdr:rowOff>68580</xdr:rowOff>
    </xdr:from>
    <xdr:to>
      <xdr:col>2</xdr:col>
      <xdr:colOff>731521</xdr:colOff>
      <xdr:row>10</xdr:row>
      <xdr:rowOff>129540</xdr:rowOff>
    </xdr:to>
    <xdr:sp macro="" textlink="">
      <xdr:nvSpPr>
        <xdr:cNvPr id="68" name="Plus 67"/>
        <xdr:cNvSpPr/>
      </xdr:nvSpPr>
      <xdr:spPr>
        <a:xfrm>
          <a:off x="1889761" y="1531620"/>
          <a:ext cx="426720" cy="426720"/>
        </a:xfrm>
        <a:prstGeom prst="mathPlus">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731521</xdr:colOff>
      <xdr:row>8</xdr:row>
      <xdr:rowOff>68580</xdr:rowOff>
    </xdr:from>
    <xdr:to>
      <xdr:col>5</xdr:col>
      <xdr:colOff>365761</xdr:colOff>
      <xdr:row>10</xdr:row>
      <xdr:rowOff>129540</xdr:rowOff>
    </xdr:to>
    <xdr:sp macro="" textlink="">
      <xdr:nvSpPr>
        <xdr:cNvPr id="69" name="Plus 68"/>
        <xdr:cNvSpPr/>
      </xdr:nvSpPr>
      <xdr:spPr>
        <a:xfrm>
          <a:off x="3901441" y="1531620"/>
          <a:ext cx="426720" cy="426720"/>
        </a:xfrm>
        <a:prstGeom prst="mathPlus">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441961</xdr:colOff>
      <xdr:row>4</xdr:row>
      <xdr:rowOff>121920</xdr:rowOff>
    </xdr:from>
    <xdr:to>
      <xdr:col>2</xdr:col>
      <xdr:colOff>754381</xdr:colOff>
      <xdr:row>7</xdr:row>
      <xdr:rowOff>45720</xdr:rowOff>
    </xdr:to>
    <xdr:grpSp>
      <xdr:nvGrpSpPr>
        <xdr:cNvPr id="70" name="Groupe 69"/>
        <xdr:cNvGrpSpPr/>
      </xdr:nvGrpSpPr>
      <xdr:grpSpPr>
        <a:xfrm>
          <a:off x="441961" y="853440"/>
          <a:ext cx="1897380" cy="472440"/>
          <a:chOff x="2514600" y="152400"/>
          <a:chExt cx="1897380" cy="472440"/>
        </a:xfrm>
      </xdr:grpSpPr>
      <xdr:sp macro="" textlink="">
        <xdr:nvSpPr>
          <xdr:cNvPr id="71" name="ZoneTexte 70"/>
          <xdr:cNvSpPr txBox="1"/>
        </xdr:nvSpPr>
        <xdr:spPr>
          <a:xfrm>
            <a:off x="2514600" y="152400"/>
            <a:ext cx="1897380" cy="472440"/>
          </a:xfrm>
          <a:prstGeom prst="roundRect">
            <a:avLst/>
          </a:prstGeom>
          <a:solidFill>
            <a:schemeClr val="accent1">
              <a:lumMod val="60000"/>
              <a:lumOff val="4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1</a:t>
            </a:r>
            <a:r>
              <a:rPr lang="en-US" sz="2000" b="1" baseline="0">
                <a:solidFill>
                  <a:sysClr val="windowText" lastClr="000000"/>
                </a:solidFill>
              </a:rPr>
              <a:t>  </a:t>
            </a:r>
            <a:r>
              <a:rPr lang="en-US" sz="2000" b="1">
                <a:solidFill>
                  <a:sysClr val="windowText" lastClr="000000"/>
                </a:solidFill>
              </a:rPr>
              <a:t>Assolement</a:t>
            </a:r>
            <a:endParaRPr lang="en-US" sz="900" b="1">
              <a:solidFill>
                <a:sysClr val="windowText" lastClr="000000"/>
              </a:solidFill>
            </a:endParaRPr>
          </a:p>
        </xdr:txBody>
      </xdr:sp>
      <xdr:sp macro="" textlink="">
        <xdr:nvSpPr>
          <xdr:cNvPr id="72" name="Organigramme : Connecteur 71"/>
          <xdr:cNvSpPr/>
        </xdr:nvSpPr>
        <xdr:spPr>
          <a:xfrm>
            <a:off x="2674620" y="251460"/>
            <a:ext cx="259080" cy="25146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464821</xdr:colOff>
      <xdr:row>8</xdr:row>
      <xdr:rowOff>53340</xdr:rowOff>
    </xdr:from>
    <xdr:to>
      <xdr:col>2</xdr:col>
      <xdr:colOff>243841</xdr:colOff>
      <xdr:row>10</xdr:row>
      <xdr:rowOff>160020</xdr:rowOff>
    </xdr:to>
    <xdr:grpSp>
      <xdr:nvGrpSpPr>
        <xdr:cNvPr id="73" name="Groupe 72"/>
        <xdr:cNvGrpSpPr/>
      </xdr:nvGrpSpPr>
      <xdr:grpSpPr>
        <a:xfrm>
          <a:off x="464821" y="1516380"/>
          <a:ext cx="1363980" cy="472440"/>
          <a:chOff x="1859280" y="1310640"/>
          <a:chExt cx="1363980" cy="472440"/>
        </a:xfrm>
      </xdr:grpSpPr>
      <xdr:sp macro="" textlink="">
        <xdr:nvSpPr>
          <xdr:cNvPr id="74" name="ZoneTexte 73"/>
          <xdr:cNvSpPr txBox="1"/>
        </xdr:nvSpPr>
        <xdr:spPr>
          <a:xfrm>
            <a:off x="1859280" y="1310640"/>
            <a:ext cx="1363980" cy="472440"/>
          </a:xfrm>
          <a:prstGeom prst="roundRect">
            <a:avLst/>
          </a:prstGeom>
          <a:solidFill>
            <a:schemeClr val="accent6">
              <a:lumMod val="60000"/>
              <a:lumOff val="4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2  Récolte</a:t>
            </a:r>
            <a:endParaRPr lang="en-US" sz="900" b="1">
              <a:solidFill>
                <a:sysClr val="windowText" lastClr="000000"/>
              </a:solidFill>
            </a:endParaRPr>
          </a:p>
        </xdr:txBody>
      </xdr:sp>
      <xdr:sp macro="" textlink="">
        <xdr:nvSpPr>
          <xdr:cNvPr id="75" name="Organigramme : Connecteur 74"/>
          <xdr:cNvSpPr/>
        </xdr:nvSpPr>
        <xdr:spPr>
          <a:xfrm>
            <a:off x="1958340" y="1417320"/>
            <a:ext cx="259080" cy="25146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769621</xdr:colOff>
      <xdr:row>8</xdr:row>
      <xdr:rowOff>53340</xdr:rowOff>
    </xdr:from>
    <xdr:to>
      <xdr:col>4</xdr:col>
      <xdr:colOff>731521</xdr:colOff>
      <xdr:row>10</xdr:row>
      <xdr:rowOff>160020</xdr:rowOff>
    </xdr:to>
    <xdr:grpSp>
      <xdr:nvGrpSpPr>
        <xdr:cNvPr id="76" name="Groupe 75"/>
        <xdr:cNvGrpSpPr/>
      </xdr:nvGrpSpPr>
      <xdr:grpSpPr>
        <a:xfrm>
          <a:off x="2354581" y="1516380"/>
          <a:ext cx="1546860" cy="472440"/>
          <a:chOff x="3749040" y="1310640"/>
          <a:chExt cx="1546860" cy="472440"/>
        </a:xfrm>
      </xdr:grpSpPr>
      <xdr:sp macro="" textlink="">
        <xdr:nvSpPr>
          <xdr:cNvPr id="77" name="ZoneTexte 76"/>
          <xdr:cNvSpPr txBox="1"/>
        </xdr:nvSpPr>
        <xdr:spPr>
          <a:xfrm>
            <a:off x="3749040" y="1310640"/>
            <a:ext cx="1546860" cy="472440"/>
          </a:xfrm>
          <a:prstGeom prst="roundRect">
            <a:avLst/>
          </a:prstGeom>
          <a:solidFill>
            <a:srgbClr val="92D05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3  Pâturage</a:t>
            </a:r>
            <a:endParaRPr lang="en-US" sz="900" b="1">
              <a:solidFill>
                <a:sysClr val="windowText" lastClr="000000"/>
              </a:solidFill>
            </a:endParaRPr>
          </a:p>
        </xdr:txBody>
      </xdr:sp>
      <xdr:sp macro="" textlink="">
        <xdr:nvSpPr>
          <xdr:cNvPr id="78" name="Organigramme : Connecteur 77"/>
          <xdr:cNvSpPr/>
        </xdr:nvSpPr>
        <xdr:spPr>
          <a:xfrm>
            <a:off x="3855720" y="1417320"/>
            <a:ext cx="259080" cy="25146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426721</xdr:colOff>
      <xdr:row>8</xdr:row>
      <xdr:rowOff>45720</xdr:rowOff>
    </xdr:from>
    <xdr:to>
      <xdr:col>6</xdr:col>
      <xdr:colOff>739141</xdr:colOff>
      <xdr:row>10</xdr:row>
      <xdr:rowOff>152400</xdr:rowOff>
    </xdr:to>
    <xdr:grpSp>
      <xdr:nvGrpSpPr>
        <xdr:cNvPr id="79" name="Groupe 78"/>
        <xdr:cNvGrpSpPr/>
      </xdr:nvGrpSpPr>
      <xdr:grpSpPr>
        <a:xfrm>
          <a:off x="4389121" y="1508760"/>
          <a:ext cx="1104900" cy="472440"/>
          <a:chOff x="5974080" y="1303020"/>
          <a:chExt cx="1104900" cy="472440"/>
        </a:xfrm>
      </xdr:grpSpPr>
      <xdr:sp macro="" textlink="">
        <xdr:nvSpPr>
          <xdr:cNvPr id="80" name="ZoneTexte 79"/>
          <xdr:cNvSpPr txBox="1"/>
        </xdr:nvSpPr>
        <xdr:spPr>
          <a:xfrm>
            <a:off x="5974080" y="1303020"/>
            <a:ext cx="1104900" cy="472440"/>
          </a:xfrm>
          <a:prstGeom prst="roundRect">
            <a:avLst/>
          </a:prstGeom>
          <a:solidFill>
            <a:schemeClr val="accent6"/>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4  Stock</a:t>
            </a:r>
            <a:endParaRPr lang="en-US" sz="900" b="1">
              <a:solidFill>
                <a:sysClr val="windowText" lastClr="000000"/>
              </a:solidFill>
            </a:endParaRPr>
          </a:p>
        </xdr:txBody>
      </xdr:sp>
      <xdr:sp macro="" textlink="">
        <xdr:nvSpPr>
          <xdr:cNvPr id="81" name="Organigramme : Connecteur 80"/>
          <xdr:cNvSpPr/>
        </xdr:nvSpPr>
        <xdr:spPr>
          <a:xfrm>
            <a:off x="6073140" y="1417320"/>
            <a:ext cx="259080" cy="25146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7</xdr:col>
      <xdr:colOff>617221</xdr:colOff>
      <xdr:row>8</xdr:row>
      <xdr:rowOff>68580</xdr:rowOff>
    </xdr:from>
    <xdr:to>
      <xdr:col>11</xdr:col>
      <xdr:colOff>358141</xdr:colOff>
      <xdr:row>10</xdr:row>
      <xdr:rowOff>175260</xdr:rowOff>
    </xdr:to>
    <xdr:grpSp>
      <xdr:nvGrpSpPr>
        <xdr:cNvPr id="82" name="Groupe 81"/>
        <xdr:cNvGrpSpPr/>
      </xdr:nvGrpSpPr>
      <xdr:grpSpPr>
        <a:xfrm>
          <a:off x="6164581" y="1531620"/>
          <a:ext cx="2910840" cy="472440"/>
          <a:chOff x="7559040" y="1325880"/>
          <a:chExt cx="2910840" cy="472440"/>
        </a:xfrm>
      </xdr:grpSpPr>
      <xdr:sp macro="" textlink="">
        <xdr:nvSpPr>
          <xdr:cNvPr id="83" name="ZoneTexte 82"/>
          <xdr:cNvSpPr txBox="1"/>
        </xdr:nvSpPr>
        <xdr:spPr>
          <a:xfrm>
            <a:off x="7559040" y="1325880"/>
            <a:ext cx="2910840" cy="472440"/>
          </a:xfrm>
          <a:prstGeom prst="roundRect">
            <a:avLst/>
          </a:prstGeom>
          <a:solidFill>
            <a:schemeClr val="accent6">
              <a:lumMod val="5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chemeClr val="bg1"/>
                </a:solidFill>
              </a:rPr>
              <a:t> 5  Production</a:t>
            </a:r>
            <a:r>
              <a:rPr lang="en-US" sz="2000" b="1" baseline="0">
                <a:solidFill>
                  <a:schemeClr val="bg1"/>
                </a:solidFill>
              </a:rPr>
              <a:t> fourragère</a:t>
            </a:r>
            <a:endParaRPr lang="en-US" sz="900" b="1">
              <a:solidFill>
                <a:schemeClr val="bg1"/>
              </a:solidFill>
            </a:endParaRPr>
          </a:p>
        </xdr:txBody>
      </xdr:sp>
      <xdr:sp macro="" textlink="">
        <xdr:nvSpPr>
          <xdr:cNvPr id="84" name="Organigramme : Connecteur 83"/>
          <xdr:cNvSpPr/>
        </xdr:nvSpPr>
        <xdr:spPr>
          <a:xfrm>
            <a:off x="7658100" y="1432560"/>
            <a:ext cx="259080" cy="251460"/>
          </a:xfrm>
          <a:prstGeom prst="flowChartConnector">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449581</xdr:colOff>
      <xdr:row>13</xdr:row>
      <xdr:rowOff>121920</xdr:rowOff>
    </xdr:from>
    <xdr:to>
      <xdr:col>3</xdr:col>
      <xdr:colOff>304801</xdr:colOff>
      <xdr:row>16</xdr:row>
      <xdr:rowOff>45720</xdr:rowOff>
    </xdr:to>
    <xdr:grpSp>
      <xdr:nvGrpSpPr>
        <xdr:cNvPr id="85" name="Groupe 84"/>
        <xdr:cNvGrpSpPr/>
      </xdr:nvGrpSpPr>
      <xdr:grpSpPr>
        <a:xfrm>
          <a:off x="449581" y="2499360"/>
          <a:ext cx="2232660" cy="472440"/>
          <a:chOff x="1859280" y="1310640"/>
          <a:chExt cx="2232660" cy="472440"/>
        </a:xfrm>
      </xdr:grpSpPr>
      <xdr:sp macro="" textlink="">
        <xdr:nvSpPr>
          <xdr:cNvPr id="86" name="ZoneTexte 85"/>
          <xdr:cNvSpPr txBox="1"/>
        </xdr:nvSpPr>
        <xdr:spPr>
          <a:xfrm>
            <a:off x="1859280" y="1310640"/>
            <a:ext cx="2232660" cy="472440"/>
          </a:xfrm>
          <a:prstGeom prst="roundRect">
            <a:avLst/>
          </a:prstGeom>
          <a:solidFill>
            <a:schemeClr val="accent2">
              <a:lumMod val="60000"/>
              <a:lumOff val="4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6  Troupeau laitier</a:t>
            </a:r>
            <a:endParaRPr lang="en-US" sz="900" b="1">
              <a:solidFill>
                <a:sysClr val="windowText" lastClr="000000"/>
              </a:solidFill>
            </a:endParaRPr>
          </a:p>
        </xdr:txBody>
      </xdr:sp>
      <xdr:sp macro="" textlink="">
        <xdr:nvSpPr>
          <xdr:cNvPr id="87" name="Organigramme : Connecteur 86"/>
          <xdr:cNvSpPr/>
        </xdr:nvSpPr>
        <xdr:spPr>
          <a:xfrm>
            <a:off x="1958340" y="1417320"/>
            <a:ext cx="259080" cy="25146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38101</xdr:colOff>
      <xdr:row>13</xdr:row>
      <xdr:rowOff>121920</xdr:rowOff>
    </xdr:from>
    <xdr:to>
      <xdr:col>7</xdr:col>
      <xdr:colOff>281941</xdr:colOff>
      <xdr:row>16</xdr:row>
      <xdr:rowOff>45720</xdr:rowOff>
    </xdr:to>
    <xdr:grpSp>
      <xdr:nvGrpSpPr>
        <xdr:cNvPr id="88" name="Groupe 87"/>
        <xdr:cNvGrpSpPr/>
      </xdr:nvGrpSpPr>
      <xdr:grpSpPr>
        <a:xfrm>
          <a:off x="3208021" y="2499360"/>
          <a:ext cx="2621280" cy="472440"/>
          <a:chOff x="1859280" y="1310640"/>
          <a:chExt cx="2621280" cy="472440"/>
        </a:xfrm>
      </xdr:grpSpPr>
      <xdr:sp macro="" textlink="">
        <xdr:nvSpPr>
          <xdr:cNvPr id="89" name="ZoneTexte 88"/>
          <xdr:cNvSpPr txBox="1"/>
        </xdr:nvSpPr>
        <xdr:spPr>
          <a:xfrm>
            <a:off x="1859280" y="1310640"/>
            <a:ext cx="2621280" cy="472440"/>
          </a:xfrm>
          <a:prstGeom prst="roundRect">
            <a:avLst/>
          </a:prstGeom>
          <a:solidFill>
            <a:schemeClr val="accent2"/>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7  Troupeau viandeux</a:t>
            </a:r>
            <a:endParaRPr lang="en-US" sz="900" b="1">
              <a:solidFill>
                <a:sysClr val="windowText" lastClr="000000"/>
              </a:solidFill>
            </a:endParaRPr>
          </a:p>
        </xdr:txBody>
      </xdr:sp>
      <xdr:sp macro="" textlink="">
        <xdr:nvSpPr>
          <xdr:cNvPr id="90" name="Organigramme : Connecteur 89"/>
          <xdr:cNvSpPr/>
        </xdr:nvSpPr>
        <xdr:spPr>
          <a:xfrm>
            <a:off x="1958340" y="1417320"/>
            <a:ext cx="259080" cy="25146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358141</xdr:colOff>
      <xdr:row>13</xdr:row>
      <xdr:rowOff>129540</xdr:rowOff>
    </xdr:from>
    <xdr:to>
      <xdr:col>3</xdr:col>
      <xdr:colOff>784861</xdr:colOff>
      <xdr:row>16</xdr:row>
      <xdr:rowOff>7620</xdr:rowOff>
    </xdr:to>
    <xdr:sp macro="" textlink="">
      <xdr:nvSpPr>
        <xdr:cNvPr id="91" name="Plus 90"/>
        <xdr:cNvSpPr/>
      </xdr:nvSpPr>
      <xdr:spPr>
        <a:xfrm>
          <a:off x="2735581" y="2506980"/>
          <a:ext cx="426720" cy="426720"/>
        </a:xfrm>
        <a:prstGeom prst="mathPlus">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399824</xdr:colOff>
      <xdr:row>12</xdr:row>
      <xdr:rowOff>122146</xdr:rowOff>
    </xdr:from>
    <xdr:to>
      <xdr:col>8</xdr:col>
      <xdr:colOff>72164</xdr:colOff>
      <xdr:row>14</xdr:row>
      <xdr:rowOff>144551</xdr:rowOff>
    </xdr:to>
    <xdr:sp macro="" textlink="">
      <xdr:nvSpPr>
        <xdr:cNvPr id="92" name="Flèche vers le bas 91"/>
        <xdr:cNvSpPr/>
      </xdr:nvSpPr>
      <xdr:spPr>
        <a:xfrm rot="15184896">
          <a:off x="5985511" y="2278379"/>
          <a:ext cx="388165" cy="464820"/>
        </a:xfrm>
        <a:prstGeom prst="downArrow">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220981</xdr:colOff>
      <xdr:row>11</xdr:row>
      <xdr:rowOff>106680</xdr:rowOff>
    </xdr:from>
    <xdr:to>
      <xdr:col>9</xdr:col>
      <xdr:colOff>495301</xdr:colOff>
      <xdr:row>14</xdr:row>
      <xdr:rowOff>30480</xdr:rowOff>
    </xdr:to>
    <xdr:sp macro="" textlink="">
      <xdr:nvSpPr>
        <xdr:cNvPr id="93" name="ZoneTexte 92"/>
        <xdr:cNvSpPr txBox="1"/>
      </xdr:nvSpPr>
      <xdr:spPr>
        <a:xfrm>
          <a:off x="6560821" y="2118360"/>
          <a:ext cx="1066800" cy="472440"/>
        </a:xfrm>
        <a:prstGeom prst="roundRect">
          <a:avLst/>
        </a:prstGeom>
        <a:solidFill>
          <a:schemeClr val="accent2">
            <a:lumMod val="7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chemeClr val="bg1"/>
              </a:solidFill>
            </a:rPr>
            <a:t>Besoins</a:t>
          </a:r>
          <a:endParaRPr lang="en-US" sz="900" b="1">
            <a:solidFill>
              <a:schemeClr val="bg1"/>
            </a:solidFill>
          </a:endParaRPr>
        </a:p>
      </xdr:txBody>
    </xdr:sp>
    <xdr:clientData/>
  </xdr:twoCellAnchor>
  <xdr:twoCellAnchor>
    <xdr:from>
      <xdr:col>8</xdr:col>
      <xdr:colOff>220981</xdr:colOff>
      <xdr:row>15</xdr:row>
      <xdr:rowOff>152400</xdr:rowOff>
    </xdr:from>
    <xdr:to>
      <xdr:col>11</xdr:col>
      <xdr:colOff>541021</xdr:colOff>
      <xdr:row>18</xdr:row>
      <xdr:rowOff>76200</xdr:rowOff>
    </xdr:to>
    <xdr:grpSp>
      <xdr:nvGrpSpPr>
        <xdr:cNvPr id="94" name="Groupe 93"/>
        <xdr:cNvGrpSpPr/>
      </xdr:nvGrpSpPr>
      <xdr:grpSpPr>
        <a:xfrm>
          <a:off x="6560821" y="2895600"/>
          <a:ext cx="2697480" cy="472440"/>
          <a:chOff x="1859280" y="1310640"/>
          <a:chExt cx="2621280" cy="472440"/>
        </a:xfrm>
      </xdr:grpSpPr>
      <xdr:sp macro="" textlink="">
        <xdr:nvSpPr>
          <xdr:cNvPr id="95" name="ZoneTexte 94"/>
          <xdr:cNvSpPr txBox="1"/>
        </xdr:nvSpPr>
        <xdr:spPr>
          <a:xfrm>
            <a:off x="1859280" y="1310640"/>
            <a:ext cx="2621280" cy="472440"/>
          </a:xfrm>
          <a:prstGeom prst="roundRect">
            <a:avLst/>
          </a:prstGeom>
          <a:solidFill>
            <a:schemeClr val="accent2">
              <a:lumMod val="5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chemeClr val="bg1"/>
                </a:solidFill>
              </a:rPr>
              <a:t> 8  Taux de chargement</a:t>
            </a:r>
            <a:endParaRPr lang="en-US" sz="900" b="1">
              <a:solidFill>
                <a:schemeClr val="bg1"/>
              </a:solidFill>
            </a:endParaRPr>
          </a:p>
        </xdr:txBody>
      </xdr:sp>
      <xdr:sp macro="" textlink="">
        <xdr:nvSpPr>
          <xdr:cNvPr id="96" name="Organigramme : Connecteur 95"/>
          <xdr:cNvSpPr/>
        </xdr:nvSpPr>
        <xdr:spPr>
          <a:xfrm>
            <a:off x="1958340" y="1417320"/>
            <a:ext cx="259080" cy="251460"/>
          </a:xfrm>
          <a:prstGeom prst="flowChartConnector">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464821</xdr:colOff>
      <xdr:row>19</xdr:row>
      <xdr:rowOff>45720</xdr:rowOff>
    </xdr:from>
    <xdr:to>
      <xdr:col>3</xdr:col>
      <xdr:colOff>777241</xdr:colOff>
      <xdr:row>21</xdr:row>
      <xdr:rowOff>152400</xdr:rowOff>
    </xdr:to>
    <xdr:grpSp>
      <xdr:nvGrpSpPr>
        <xdr:cNvPr id="97" name="Groupe 96"/>
        <xdr:cNvGrpSpPr/>
      </xdr:nvGrpSpPr>
      <xdr:grpSpPr>
        <a:xfrm>
          <a:off x="464821" y="3520440"/>
          <a:ext cx="2689860" cy="472440"/>
          <a:chOff x="1859280" y="1310640"/>
          <a:chExt cx="2689860" cy="472440"/>
        </a:xfrm>
      </xdr:grpSpPr>
      <xdr:sp macro="" textlink="">
        <xdr:nvSpPr>
          <xdr:cNvPr id="98" name="ZoneTexte 97"/>
          <xdr:cNvSpPr txBox="1"/>
        </xdr:nvSpPr>
        <xdr:spPr>
          <a:xfrm>
            <a:off x="1859280" y="1310640"/>
            <a:ext cx="2689860" cy="472440"/>
          </a:xfrm>
          <a:prstGeom prst="roundRect">
            <a:avLst/>
          </a:prstGeom>
          <a:solidFill>
            <a:schemeClr val="accent4">
              <a:lumMod val="60000"/>
              <a:lumOff val="4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9  Coûts</a:t>
            </a:r>
            <a:r>
              <a:rPr lang="en-US" sz="2000" b="1" baseline="0">
                <a:solidFill>
                  <a:sysClr val="windowText" lastClr="000000"/>
                </a:solidFill>
              </a:rPr>
              <a:t> de production</a:t>
            </a:r>
            <a:endParaRPr lang="en-US" sz="900" b="1">
              <a:solidFill>
                <a:sysClr val="windowText" lastClr="000000"/>
              </a:solidFill>
            </a:endParaRPr>
          </a:p>
        </xdr:txBody>
      </xdr:sp>
      <xdr:sp macro="" textlink="">
        <xdr:nvSpPr>
          <xdr:cNvPr id="99" name="Organigramme : Connecteur 98"/>
          <xdr:cNvSpPr/>
        </xdr:nvSpPr>
        <xdr:spPr>
          <a:xfrm>
            <a:off x="1958340" y="1417320"/>
            <a:ext cx="259080" cy="25146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640081</xdr:colOff>
      <xdr:row>19</xdr:row>
      <xdr:rowOff>45720</xdr:rowOff>
    </xdr:from>
    <xdr:to>
      <xdr:col>6</xdr:col>
      <xdr:colOff>449581</xdr:colOff>
      <xdr:row>21</xdr:row>
      <xdr:rowOff>152400</xdr:rowOff>
    </xdr:to>
    <xdr:grpSp>
      <xdr:nvGrpSpPr>
        <xdr:cNvPr id="100" name="Groupe 99"/>
        <xdr:cNvGrpSpPr/>
      </xdr:nvGrpSpPr>
      <xdr:grpSpPr>
        <a:xfrm>
          <a:off x="3810001" y="3520440"/>
          <a:ext cx="1394460" cy="472440"/>
          <a:chOff x="1859280" y="1310640"/>
          <a:chExt cx="1394460" cy="472440"/>
        </a:xfrm>
      </xdr:grpSpPr>
      <xdr:sp macro="" textlink="">
        <xdr:nvSpPr>
          <xdr:cNvPr id="101" name="ZoneTexte 100"/>
          <xdr:cNvSpPr txBox="1"/>
        </xdr:nvSpPr>
        <xdr:spPr>
          <a:xfrm>
            <a:off x="1859280" y="1310640"/>
            <a:ext cx="1394460" cy="472440"/>
          </a:xfrm>
          <a:prstGeom prst="roundRect">
            <a:avLst/>
          </a:prstGeom>
          <a:solidFill>
            <a:schemeClr val="accent4"/>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ysClr val="windowText" lastClr="000000"/>
                </a:solidFill>
              </a:rPr>
              <a:t> 10  Achats</a:t>
            </a:r>
            <a:endParaRPr lang="en-US" sz="900" b="1">
              <a:solidFill>
                <a:sysClr val="windowText" lastClr="000000"/>
              </a:solidFill>
            </a:endParaRPr>
          </a:p>
        </xdr:txBody>
      </xdr:sp>
      <xdr:sp macro="" textlink="">
        <xdr:nvSpPr>
          <xdr:cNvPr id="102" name="Organigramme : Connecteur 101"/>
          <xdr:cNvSpPr/>
        </xdr:nvSpPr>
        <xdr:spPr>
          <a:xfrm>
            <a:off x="1981200" y="1386840"/>
            <a:ext cx="350520" cy="32004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76201</xdr:colOff>
      <xdr:row>19</xdr:row>
      <xdr:rowOff>68580</xdr:rowOff>
    </xdr:from>
    <xdr:to>
      <xdr:col>4</xdr:col>
      <xdr:colOff>502921</xdr:colOff>
      <xdr:row>21</xdr:row>
      <xdr:rowOff>129540</xdr:rowOff>
    </xdr:to>
    <xdr:sp macro="" textlink="">
      <xdr:nvSpPr>
        <xdr:cNvPr id="103" name="Plus 102"/>
        <xdr:cNvSpPr/>
      </xdr:nvSpPr>
      <xdr:spPr>
        <a:xfrm>
          <a:off x="3246121" y="3543300"/>
          <a:ext cx="426720" cy="426720"/>
        </a:xfrm>
        <a:prstGeom prst="mathPlus">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571501</xdr:colOff>
      <xdr:row>19</xdr:row>
      <xdr:rowOff>91440</xdr:rowOff>
    </xdr:from>
    <xdr:to>
      <xdr:col>7</xdr:col>
      <xdr:colOff>243841</xdr:colOff>
      <xdr:row>21</xdr:row>
      <xdr:rowOff>113845</xdr:rowOff>
    </xdr:to>
    <xdr:sp macro="" textlink="">
      <xdr:nvSpPr>
        <xdr:cNvPr id="104" name="Flèche vers le bas 103"/>
        <xdr:cNvSpPr/>
      </xdr:nvSpPr>
      <xdr:spPr>
        <a:xfrm rot="16200000">
          <a:off x="5364708" y="3527833"/>
          <a:ext cx="388165" cy="464820"/>
        </a:xfrm>
        <a:prstGeom prst="downArrow">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342901</xdr:colOff>
      <xdr:row>19</xdr:row>
      <xdr:rowOff>45720</xdr:rowOff>
    </xdr:from>
    <xdr:to>
      <xdr:col>11</xdr:col>
      <xdr:colOff>243841</xdr:colOff>
      <xdr:row>21</xdr:row>
      <xdr:rowOff>152400</xdr:rowOff>
    </xdr:to>
    <xdr:grpSp>
      <xdr:nvGrpSpPr>
        <xdr:cNvPr id="105" name="Groupe 104"/>
        <xdr:cNvGrpSpPr/>
      </xdr:nvGrpSpPr>
      <xdr:grpSpPr>
        <a:xfrm>
          <a:off x="5890261" y="3520440"/>
          <a:ext cx="3070860" cy="472440"/>
          <a:chOff x="1859280" y="1310640"/>
          <a:chExt cx="3070860" cy="472440"/>
        </a:xfrm>
      </xdr:grpSpPr>
      <xdr:sp macro="" textlink="">
        <xdr:nvSpPr>
          <xdr:cNvPr id="106" name="ZoneTexte 105"/>
          <xdr:cNvSpPr txBox="1"/>
        </xdr:nvSpPr>
        <xdr:spPr>
          <a:xfrm>
            <a:off x="1859280" y="1310640"/>
            <a:ext cx="3070860" cy="472440"/>
          </a:xfrm>
          <a:prstGeom prst="roundRect">
            <a:avLst/>
          </a:prstGeom>
          <a:solidFill>
            <a:srgbClr val="B086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chemeClr val="bg1"/>
                </a:solidFill>
              </a:rPr>
              <a:t> 11  Efficience</a:t>
            </a:r>
            <a:r>
              <a:rPr lang="en-US" sz="2000" b="1" baseline="0">
                <a:solidFill>
                  <a:schemeClr val="bg1"/>
                </a:solidFill>
              </a:rPr>
              <a:t> économique</a:t>
            </a:r>
            <a:endParaRPr lang="en-US" sz="900" b="1">
              <a:solidFill>
                <a:schemeClr val="bg1"/>
              </a:solidFill>
            </a:endParaRPr>
          </a:p>
        </xdr:txBody>
      </xdr:sp>
      <xdr:sp macro="" textlink="">
        <xdr:nvSpPr>
          <xdr:cNvPr id="107" name="Organigramme : Connecteur 106"/>
          <xdr:cNvSpPr/>
        </xdr:nvSpPr>
        <xdr:spPr>
          <a:xfrm>
            <a:off x="1981200" y="1386840"/>
            <a:ext cx="350520" cy="320040"/>
          </a:xfrm>
          <a:prstGeom prst="flowChartConnector">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472441</xdr:colOff>
      <xdr:row>23</xdr:row>
      <xdr:rowOff>83820</xdr:rowOff>
    </xdr:from>
    <xdr:to>
      <xdr:col>4</xdr:col>
      <xdr:colOff>213361</xdr:colOff>
      <xdr:row>26</xdr:row>
      <xdr:rowOff>7620</xdr:rowOff>
    </xdr:to>
    <xdr:grpSp>
      <xdr:nvGrpSpPr>
        <xdr:cNvPr id="108" name="Groupe 107"/>
        <xdr:cNvGrpSpPr/>
      </xdr:nvGrpSpPr>
      <xdr:grpSpPr>
        <a:xfrm>
          <a:off x="472441" y="4290060"/>
          <a:ext cx="2910840" cy="472440"/>
          <a:chOff x="7559040" y="1325880"/>
          <a:chExt cx="2910840" cy="472440"/>
        </a:xfrm>
      </xdr:grpSpPr>
      <xdr:sp macro="" textlink="">
        <xdr:nvSpPr>
          <xdr:cNvPr id="109" name="ZoneTexte 108"/>
          <xdr:cNvSpPr txBox="1"/>
        </xdr:nvSpPr>
        <xdr:spPr>
          <a:xfrm>
            <a:off x="7559040" y="1325880"/>
            <a:ext cx="2910840" cy="472440"/>
          </a:xfrm>
          <a:prstGeom prst="roundRect">
            <a:avLst/>
          </a:prstGeom>
          <a:solidFill>
            <a:schemeClr val="accent6">
              <a:lumMod val="5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2000" b="1">
                <a:solidFill>
                  <a:schemeClr val="bg1"/>
                </a:solidFill>
              </a:rPr>
              <a:t> 5  Production</a:t>
            </a:r>
            <a:r>
              <a:rPr lang="en-US" sz="2000" b="1" baseline="0">
                <a:solidFill>
                  <a:schemeClr val="bg1"/>
                </a:solidFill>
              </a:rPr>
              <a:t> fourragère</a:t>
            </a:r>
            <a:endParaRPr lang="en-US" sz="900" b="1">
              <a:solidFill>
                <a:schemeClr val="bg1"/>
              </a:solidFill>
            </a:endParaRPr>
          </a:p>
        </xdr:txBody>
      </xdr:sp>
      <xdr:sp macro="" textlink="">
        <xdr:nvSpPr>
          <xdr:cNvPr id="110" name="Organigramme : Connecteur 109"/>
          <xdr:cNvSpPr/>
        </xdr:nvSpPr>
        <xdr:spPr>
          <a:xfrm>
            <a:off x="7658100" y="1432560"/>
            <a:ext cx="259080" cy="251460"/>
          </a:xfrm>
          <a:prstGeom prst="flowChartConnector">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7</xdr:col>
      <xdr:colOff>373381</xdr:colOff>
      <xdr:row>15</xdr:row>
      <xdr:rowOff>121920</xdr:rowOff>
    </xdr:from>
    <xdr:to>
      <xdr:col>8</xdr:col>
      <xdr:colOff>45721</xdr:colOff>
      <xdr:row>17</xdr:row>
      <xdr:rowOff>144325</xdr:rowOff>
    </xdr:to>
    <xdr:sp macro="" textlink="">
      <xdr:nvSpPr>
        <xdr:cNvPr id="111" name="Flèche vers le bas 110"/>
        <xdr:cNvSpPr/>
      </xdr:nvSpPr>
      <xdr:spPr>
        <a:xfrm rot="17956437">
          <a:off x="5959068" y="2826793"/>
          <a:ext cx="388165" cy="464820"/>
        </a:xfrm>
        <a:prstGeom prst="downArrow">
          <a:avLst/>
        </a:prstGeom>
        <a:ln>
          <a:solidFill>
            <a:schemeClr val="bg1">
              <a:lumMod val="50000"/>
            </a:schemeClr>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448733</xdr:colOff>
      <xdr:row>0</xdr:row>
      <xdr:rowOff>160867</xdr:rowOff>
    </xdr:from>
    <xdr:to>
      <xdr:col>12</xdr:col>
      <xdr:colOff>364067</xdr:colOff>
      <xdr:row>9</xdr:row>
      <xdr:rowOff>177800</xdr:rowOff>
    </xdr:to>
    <xdr:sp macro="" textlink="">
      <xdr:nvSpPr>
        <xdr:cNvPr id="3" name="ZoneTexte 2"/>
        <xdr:cNvSpPr txBox="1"/>
      </xdr:nvSpPr>
      <xdr:spPr>
        <a:xfrm>
          <a:off x="8551333" y="160867"/>
          <a:ext cx="4690534" cy="2785533"/>
        </a:xfrm>
        <a:prstGeom prst="roundRect">
          <a:avLst/>
        </a:prstGeom>
        <a:solidFill>
          <a:schemeClr val="lt1"/>
        </a:solidFill>
        <a:ln w="2857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1" baseline="0">
              <a:solidFill>
                <a:schemeClr val="dk1"/>
              </a:solidFill>
              <a:latin typeface="+mn-lt"/>
            </a:rPr>
            <a:t>              </a:t>
          </a:r>
          <a:r>
            <a:rPr lang="en-US" sz="1400" b="1">
              <a:solidFill>
                <a:schemeClr val="accent6">
                  <a:lumMod val="75000"/>
                </a:schemeClr>
              </a:solidFill>
              <a:latin typeface="+mn-lt"/>
            </a:rPr>
            <a:t>BON</a:t>
          </a:r>
          <a:r>
            <a:rPr lang="en-US" sz="1400" b="1" baseline="0">
              <a:solidFill>
                <a:schemeClr val="accent6">
                  <a:lumMod val="75000"/>
                </a:schemeClr>
              </a:solidFill>
              <a:latin typeface="+mn-lt"/>
            </a:rPr>
            <a:t> À SAVOIR :</a:t>
          </a:r>
        </a:p>
        <a:p>
          <a:endParaRPr lang="en-US" sz="1400" b="1" baseline="0">
            <a:latin typeface="+mn-lt"/>
          </a:endParaRPr>
        </a:p>
        <a:p>
          <a:r>
            <a:rPr lang="en-US" sz="1400" b="1">
              <a:latin typeface="+mn-lt"/>
            </a:rPr>
            <a:t>Charges opérationnelles affectées </a:t>
          </a:r>
          <a:r>
            <a:rPr lang="en-US" sz="1400">
              <a:latin typeface="+mn-lt"/>
            </a:rPr>
            <a:t>: Ensemble des frais qui varient suivant le volume de production. </a:t>
          </a:r>
        </a:p>
        <a:p>
          <a:r>
            <a:rPr lang="en-US" sz="1100" b="0" i="0" u="none" strike="noStrike">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Exemples de charges opérationnelles affectées aux superficies fourragères : semences, engrais et amendements, produits phytos, travaux d'entreprise, …</a:t>
          </a:r>
        </a:p>
        <a:p>
          <a:r>
            <a:rPr lang="en-US" sz="1200" b="0" i="0" u="none" strike="noStrike" baseline="0">
              <a:solidFill>
                <a:schemeClr val="dk1"/>
              </a:solidFill>
              <a:effectLst/>
              <a:latin typeface="+mn-lt"/>
              <a:ea typeface="+mn-ea"/>
              <a:cs typeface="+mn-cs"/>
            </a:rPr>
            <a:t>         Exemples d'autres charges opérationnelles affectées au bétail : Aliments, frais de reproduction, de vétérinaire et de médicaments, cotisations cheptel, …</a:t>
          </a:r>
        </a:p>
        <a:p>
          <a:r>
            <a:rPr lang="en-US" sz="1400" b="1">
              <a:latin typeface="+mn-lt"/>
            </a:rPr>
            <a:t>Marge brute</a:t>
          </a:r>
          <a:r>
            <a:rPr lang="en-US" sz="1400" b="0">
              <a:latin typeface="+mn-lt"/>
            </a:rPr>
            <a:t> : Ce sont les produits de l’exploitation dont on déduit les charges opérationnelles affectées.</a:t>
          </a:r>
          <a:endParaRPr lang="en-US" sz="1400" b="1">
            <a:latin typeface="+mn-lt"/>
          </a:endParaRPr>
        </a:p>
      </xdr:txBody>
    </xdr:sp>
    <xdr:clientData/>
  </xdr:twoCellAnchor>
  <xdr:twoCellAnchor>
    <xdr:from>
      <xdr:col>6</xdr:col>
      <xdr:colOff>152403</xdr:colOff>
      <xdr:row>9</xdr:row>
      <xdr:rowOff>84656</xdr:rowOff>
    </xdr:from>
    <xdr:to>
      <xdr:col>6</xdr:col>
      <xdr:colOff>711203</xdr:colOff>
      <xdr:row>10</xdr:row>
      <xdr:rowOff>169333</xdr:rowOff>
    </xdr:to>
    <xdr:sp macro="" textlink="">
      <xdr:nvSpPr>
        <xdr:cNvPr id="4" name="Organigramme : Connecteur 3"/>
        <xdr:cNvSpPr/>
      </xdr:nvSpPr>
      <xdr:spPr>
        <a:xfrm>
          <a:off x="8255003" y="2853256"/>
          <a:ext cx="558800" cy="541877"/>
        </a:xfrm>
        <a:prstGeom prst="flowChartConnector">
          <a:avLst/>
        </a:prstGeom>
        <a:noFill/>
        <a:ln w="285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347133</xdr:colOff>
      <xdr:row>11</xdr:row>
      <xdr:rowOff>42333</xdr:rowOff>
    </xdr:from>
    <xdr:to>
      <xdr:col>5</xdr:col>
      <xdr:colOff>694267</xdr:colOff>
      <xdr:row>12</xdr:row>
      <xdr:rowOff>118533</xdr:rowOff>
    </xdr:to>
    <xdr:sp macro="" textlink="">
      <xdr:nvSpPr>
        <xdr:cNvPr id="5" name="Organigramme : Connecteur 4"/>
        <xdr:cNvSpPr/>
      </xdr:nvSpPr>
      <xdr:spPr>
        <a:xfrm>
          <a:off x="7653866" y="3725333"/>
          <a:ext cx="347134" cy="347133"/>
        </a:xfrm>
        <a:prstGeom prst="flowChartConnector">
          <a:avLst/>
        </a:prstGeom>
        <a:noFill/>
        <a:ln w="285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101599</xdr:colOff>
      <xdr:row>12</xdr:row>
      <xdr:rowOff>16933</xdr:rowOff>
    </xdr:from>
    <xdr:to>
      <xdr:col>5</xdr:col>
      <xdr:colOff>321734</xdr:colOff>
      <xdr:row>12</xdr:row>
      <xdr:rowOff>254000</xdr:rowOff>
    </xdr:to>
    <xdr:sp macro="" textlink="">
      <xdr:nvSpPr>
        <xdr:cNvPr id="6" name="Organigramme : Connecteur 5"/>
        <xdr:cNvSpPr/>
      </xdr:nvSpPr>
      <xdr:spPr>
        <a:xfrm>
          <a:off x="7408332" y="3970866"/>
          <a:ext cx="220135" cy="237067"/>
        </a:xfrm>
        <a:prstGeom prst="flowChartConnector">
          <a:avLst/>
        </a:prstGeom>
        <a:noFill/>
        <a:ln w="285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6</xdr:col>
      <xdr:colOff>716431</xdr:colOff>
      <xdr:row>0</xdr:row>
      <xdr:rowOff>228602</xdr:rowOff>
    </xdr:from>
    <xdr:to>
      <xdr:col>7</xdr:col>
      <xdr:colOff>330200</xdr:colOff>
      <xdr:row>1</xdr:row>
      <xdr:rowOff>26578</xdr:rowOff>
    </xdr:to>
    <xdr:pic>
      <xdr:nvPicPr>
        <xdr:cNvPr id="9" name="Image 8" descr="RÃ©sultat de recherche d'images pour &quot;ampoule idÃ©e&qu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0698" y="228602"/>
          <a:ext cx="409636" cy="458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740833</xdr:colOff>
      <xdr:row>3</xdr:row>
      <xdr:rowOff>16940</xdr:rowOff>
    </xdr:from>
    <xdr:to>
      <xdr:col>7</xdr:col>
      <xdr:colOff>127000</xdr:colOff>
      <xdr:row>3</xdr:row>
      <xdr:rowOff>127003</xdr:rowOff>
    </xdr:to>
    <xdr:sp macro="" textlink="">
      <xdr:nvSpPr>
        <xdr:cNvPr id="10" name="Flèche à angle droit 9"/>
        <xdr:cNvSpPr/>
      </xdr:nvSpPr>
      <xdr:spPr>
        <a:xfrm rot="5400000">
          <a:off x="9091085" y="1208622"/>
          <a:ext cx="110063" cy="182033"/>
        </a:xfrm>
        <a:prstGeom prst="bentUp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749294</xdr:colOff>
      <xdr:row>5</xdr:row>
      <xdr:rowOff>76206</xdr:rowOff>
    </xdr:from>
    <xdr:to>
      <xdr:col>7</xdr:col>
      <xdr:colOff>143933</xdr:colOff>
      <xdr:row>5</xdr:row>
      <xdr:rowOff>186269</xdr:rowOff>
    </xdr:to>
    <xdr:sp macro="" textlink="">
      <xdr:nvSpPr>
        <xdr:cNvPr id="11" name="Flèche à angle droit 10"/>
        <xdr:cNvSpPr/>
      </xdr:nvSpPr>
      <xdr:spPr>
        <a:xfrm rot="5400000">
          <a:off x="9103782" y="1771652"/>
          <a:ext cx="110063" cy="190505"/>
        </a:xfrm>
        <a:prstGeom prst="bentUp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660401</xdr:colOff>
      <xdr:row>10</xdr:row>
      <xdr:rowOff>143932</xdr:rowOff>
    </xdr:from>
    <xdr:to>
      <xdr:col>6</xdr:col>
      <xdr:colOff>313268</xdr:colOff>
      <xdr:row>11</xdr:row>
      <xdr:rowOff>135467</xdr:rowOff>
    </xdr:to>
    <xdr:sp macro="" textlink="">
      <xdr:nvSpPr>
        <xdr:cNvPr id="12" name="Organigramme : Connecteur 11"/>
        <xdr:cNvSpPr/>
      </xdr:nvSpPr>
      <xdr:spPr>
        <a:xfrm>
          <a:off x="7967134" y="3369732"/>
          <a:ext cx="448734" cy="448735"/>
        </a:xfrm>
        <a:prstGeom prst="flowChartConnector">
          <a:avLst/>
        </a:prstGeom>
        <a:noFill/>
        <a:ln w="285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412569</xdr:colOff>
      <xdr:row>9</xdr:row>
      <xdr:rowOff>108857</xdr:rowOff>
    </xdr:from>
    <xdr:to>
      <xdr:col>0</xdr:col>
      <xdr:colOff>1446712</xdr:colOff>
      <xdr:row>12</xdr:row>
      <xdr:rowOff>119742</xdr:rowOff>
    </xdr:to>
    <xdr:sp macro="" textlink="">
      <xdr:nvSpPr>
        <xdr:cNvPr id="2" name="Flèche droite 1"/>
        <xdr:cNvSpPr/>
      </xdr:nvSpPr>
      <xdr:spPr>
        <a:xfrm>
          <a:off x="412569" y="2752997"/>
          <a:ext cx="1034143" cy="887185"/>
        </a:xfrm>
        <a:prstGeom prst="rightArrow">
          <a:avLst/>
        </a:prstGeom>
        <a:solidFill>
          <a:srgbClr val="C00000"/>
        </a:solidFill>
        <a:ln>
          <a:solidFill>
            <a:srgbClr val="A8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xdr:colOff>
      <xdr:row>9</xdr:row>
      <xdr:rowOff>97972</xdr:rowOff>
    </xdr:from>
    <xdr:to>
      <xdr:col>6</xdr:col>
      <xdr:colOff>1034144</xdr:colOff>
      <xdr:row>12</xdr:row>
      <xdr:rowOff>108857</xdr:rowOff>
    </xdr:to>
    <xdr:sp macro="" textlink="">
      <xdr:nvSpPr>
        <xdr:cNvPr id="3" name="Flèche droite 2"/>
        <xdr:cNvSpPr/>
      </xdr:nvSpPr>
      <xdr:spPr>
        <a:xfrm rot="10800000">
          <a:off x="12442372" y="3320143"/>
          <a:ext cx="1034143" cy="892628"/>
        </a:xfrm>
        <a:prstGeom prst="rightArrow">
          <a:avLst/>
        </a:prstGeom>
        <a:solidFill>
          <a:srgbClr val="C00000"/>
        </a:solidFill>
        <a:ln>
          <a:solidFill>
            <a:srgbClr val="A8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1" name="Tableau1" displayName="Tableau1" ref="B3:L104" totalsRowShown="0" headerRowDxfId="154" dataDxfId="152" headerRowBorderDxfId="153" tableBorderDxfId="151">
  <autoFilter ref="B3:L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Types de cultures" dataDxfId="150"/>
    <tableColumn id="2" name="Description" dataDxfId="149"/>
    <tableColumn id="3" name="Superficie (Ha)" dataDxfId="148"/>
    <tableColumn id="4" name="Rdmt (T/Ha)" dataDxfId="147">
      <calculatedColumnFormula>SUM(Tableau1[Rdmt (T/Ha)])</calculatedColumnFormula>
    </tableColumn>
    <tableColumn id="5" name="Rdmt MF" dataDxfId="146"/>
    <tableColumn id="6" name="% MS" dataDxfId="145" dataCellStyle="Pourcentage"/>
    <tableColumn id="7" name="T de MS" dataDxfId="144"/>
    <tableColumn id="8" name="VEM/kg de MS" dataDxfId="143"/>
    <tableColumn id="11" name="VEM Totaux" dataDxfId="142"/>
    <tableColumn id="9" name="g de DVE/kg de MS" dataDxfId="141"/>
    <tableColumn id="10" name="DVE Totaux" dataDxfId="140"/>
  </tableColumns>
  <tableStyleInfo name="TableStyleMedium2" showFirstColumn="0" showLastColumn="0" showRowStripes="1" showColumnStripes="0"/>
</table>
</file>

<file path=xl/tables/table10.xml><?xml version="1.0" encoding="utf-8"?>
<table xmlns="http://schemas.openxmlformats.org/spreadsheetml/2006/main" id="10" name="Tableau51011" displayName="Tableau51011" ref="B11:K15" totalsRowShown="0" headerRowDxfId="70" headerRowBorderDxfId="69" tableBorderDxfId="68">
  <autoFilter ref="B11:K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Fourrages"/>
    <tableColumn id="2" name="Quantités (T)" dataDxfId="67">
      <calculatedColumnFormula>SUM(C10:C11)</calculatedColumnFormula>
    </tableColumn>
    <tableColumn id="3" name="% MS"/>
    <tableColumn id="4" name=" T de MS"/>
    <tableColumn id="5" name="VEM/kg de MS" dataDxfId="66">
      <calculatedColumnFormula>SUM(#REF!)</calculatedColumnFormula>
    </tableColumn>
    <tableColumn id="9" name="VEM Totaux" dataDxfId="65"/>
    <tableColumn id="6" name="g de DVE/kg de MS" dataDxfId="64">
      <calculatedColumnFormula>SUM(#REF!)</calculatedColumnFormula>
    </tableColumn>
    <tableColumn id="10" name="Kg de DVE Totaux" dataDxfId="63"/>
    <tableColumn id="7" name="Prix (€/T)" dataDxfId="62">
      <calculatedColumnFormula>SUM(#REF!)</calculatedColumnFormula>
    </tableColumn>
    <tableColumn id="8" name="Coûts d'achat (€)" dataDxfId="61">
      <calculatedColumnFormula>SUM(I10,#REF!,K11)</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id="11" name="Tableau5101112" displayName="Tableau5101112" ref="B17:K22" totalsRowShown="0" headerRowDxfId="60" headerRowBorderDxfId="59" tableBorderDxfId="58">
  <autoFilter ref="B17:K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éréales"/>
    <tableColumn id="2" name="Quantités (T)" dataDxfId="57">
      <calculatedColumnFormula>SUM(C16:C17)</calculatedColumnFormula>
    </tableColumn>
    <tableColumn id="3" name="% MS"/>
    <tableColumn id="4" name=" T de MS"/>
    <tableColumn id="5" name="VEM/kg de MS" dataDxfId="56">
      <calculatedColumnFormula>SUM(F15:F17)</calculatedColumnFormula>
    </tableColumn>
    <tableColumn id="10" name="VEM Totaux" dataDxfId="55"/>
    <tableColumn id="6" name="g de DVE/kg de MS" dataDxfId="54">
      <calculatedColumnFormula>SUM(#REF!)</calculatedColumnFormula>
    </tableColumn>
    <tableColumn id="9" name="Kg de DVE Totaux" dataDxfId="53"/>
    <tableColumn id="7" name="Prix (€/T)" dataDxfId="52">
      <calculatedColumnFormula>SUM(H15:H17)</calculatedColumnFormula>
    </tableColumn>
    <tableColumn id="8" name="Coûts d'achat (€)" dataDxfId="51">
      <calculatedColumnFormula>SUM(I15:I17)</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id="12" name="Tableau5101113" displayName="Tableau5101113" ref="B24:K30" totalsRowShown="0" headerRowDxfId="50" headerRowBorderDxfId="49" tableBorderDxfId="48">
  <autoFilter ref="B24:K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Paille"/>
    <tableColumn id="2" name="Quantités (T)" dataDxfId="47">
      <calculatedColumnFormula>SUM(C21:C24)</calculatedColumnFormula>
    </tableColumn>
    <tableColumn id="3" name="% MS"/>
    <tableColumn id="4" name=" T de MS"/>
    <tableColumn id="5" name="VEM/kg de MS" dataDxfId="46">
      <calculatedColumnFormula>SUM(F23:F24)</calculatedColumnFormula>
    </tableColumn>
    <tableColumn id="9" name="VEM Totaux" dataDxfId="45"/>
    <tableColumn id="6" name="g de DVE/kg de MS" dataDxfId="44">
      <calculatedColumnFormula>SUM(G23:G24)</calculatedColumnFormula>
    </tableColumn>
    <tableColumn id="10" name="Kg de DVE Totaux" dataDxfId="43"/>
    <tableColumn id="7" name="Prix (€/T)" dataDxfId="42">
      <calculatedColumnFormula>SUM(H23:H24)</calculatedColumnFormula>
    </tableColumn>
    <tableColumn id="8" name="Coûts d'achat (€)" dataDxfId="41">
      <calculatedColumnFormula>SUM(I21:I24)</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id="13" name="Tableau510111314" displayName="Tableau510111314" ref="B32:K36" totalsRowShown="0" headerRowDxfId="40" headerRowBorderDxfId="39" tableBorderDxfId="38">
  <autoFilter ref="B32:K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o-produits de l'industrie"/>
    <tableColumn id="2" name="Quantités (T)" dataDxfId="37">
      <calculatedColumnFormula>SUM(C31:C32)</calculatedColumnFormula>
    </tableColumn>
    <tableColumn id="3" name="% MS"/>
    <tableColumn id="4" name=" T de MS"/>
    <tableColumn id="5" name="VEM/kg de MS" dataDxfId="36">
      <calculatedColumnFormula>SUM(F31:F32)</calculatedColumnFormula>
    </tableColumn>
    <tableColumn id="10" name="VEM Totaux" dataDxfId="35"/>
    <tableColumn id="6" name="g de DVE/kg de MS" dataDxfId="34">
      <calculatedColumnFormula>SUM(G31:G32)</calculatedColumnFormula>
    </tableColumn>
    <tableColumn id="9" name="Kg de DVE Totaux" dataDxfId="33"/>
    <tableColumn id="7" name="Prix (€/T)" dataDxfId="32">
      <calculatedColumnFormula>SUM(H31:H32)</calculatedColumnFormula>
    </tableColumn>
    <tableColumn id="8" name="Coûts d'achat (€)" dataDxfId="31">
      <calculatedColumnFormula>SUM(I31:I32)</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14" name="Tableau510111215" displayName="Tableau510111215" ref="B4:K9" totalsRowShown="0" headerRowDxfId="30" headerRowBorderDxfId="29" tableBorderDxfId="28">
  <autoFilter ref="B4:K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oncentrés"/>
    <tableColumn id="2" name="Quantités (T)" dataDxfId="27"/>
    <tableColumn id="3" name="% MS"/>
    <tableColumn id="4" name=" T de MS"/>
    <tableColumn id="5" name="VEM/kg de MS" dataDxfId="26"/>
    <tableColumn id="9" name="VEM Totaux" dataDxfId="25"/>
    <tableColumn id="6" name="g de DVE/kg de MS" dataDxfId="24">
      <calculatedColumnFormula>SUM(#REF!)</calculatedColumnFormula>
    </tableColumn>
    <tableColumn id="10" name="Kg de DVE Totaux" dataDxfId="23"/>
    <tableColumn id="7" name="Prix (€/T)" dataDxfId="22">
      <calculatedColumnFormula>SUM(H4:H4)</calculatedColumnFormula>
    </tableColumn>
    <tableColumn id="8" name="Coûts d'achat (€)" dataDxfId="21">
      <calculatedColumnFormula>SUM(#REF!,#REF!,#REF!,K4,)</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id="5" name="Tableau5" displayName="Tableau5" ref="B39:G45" totalsRowShown="0" headerRowDxfId="20" headerRowBorderDxfId="19" tableBorderDxfId="18">
  <autoFilter ref="B39:G45"/>
  <tableColumns count="6">
    <tableColumn id="1" name="Achats"/>
    <tableColumn id="2" name="Quantités (T)"/>
    <tableColumn id="4" name=" T de MS"/>
    <tableColumn id="5" name="VEM Totaux" dataDxfId="17">
      <calculatedColumnFormula>SUM(F38:F39)</calculatedColumnFormula>
    </tableColumn>
    <tableColumn id="6" name="Kg de DVE Totaux" dataDxfId="16">
      <calculatedColumnFormula>SUM(G38:G39)</calculatedColumnFormula>
    </tableColumn>
    <tableColumn id="7" name="Coûts d'achat (€)" dataDxfId="15">
      <calculatedColumnFormula>SUM(H2:H3)</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id="16" name="Tableau16" displayName="Tableau16" ref="B3:K59" totalsRowShown="0" headerRowDxfId="14" dataDxfId="12" headerRowBorderDxfId="13" tableBorderDxfId="11" totalsRowBorderDxfId="10">
  <autoFilter ref="B3:K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liments" dataDxfId="9"/>
    <tableColumn id="9" name="%MS" dataDxfId="8"/>
    <tableColumn id="2" name="VEM" dataDxfId="7"/>
    <tableColumn id="3" name="VEVI" dataDxfId="6"/>
    <tableColumn id="4" name="DVE" dataDxfId="5"/>
    <tableColumn id="5" name="Aliments " dataDxfId="4"/>
    <tableColumn id="10" name="%MS " dataDxfId="3"/>
    <tableColumn id="6" name="VEM " dataDxfId="2"/>
    <tableColumn id="7" name="VEVI " dataDxfId="1"/>
    <tableColumn id="8" name="DVE " dataDxfId="0"/>
  </tableColumns>
  <tableStyleInfo name="TableStyleMedium2" showFirstColumn="0" showLastColumn="0" showRowStripes="1" showColumnStripes="0"/>
</table>
</file>

<file path=xl/tables/table2.xml><?xml version="1.0" encoding="utf-8"?>
<table xmlns="http://schemas.openxmlformats.org/spreadsheetml/2006/main" id="2" name="Tableau2" displayName="Tableau2" ref="B4:J31" totalsRowShown="0" headerRowDxfId="139" headerRowBorderDxfId="138" tableBorderDxfId="137">
  <autoFilter ref="B4:J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Type de prairie"/>
    <tableColumn id="9" name="Nom du morceau"/>
    <tableColumn id="2" name="Superficie (Ha)" dataDxfId="136"/>
    <tableColumn id="3" name="Nbre jours Pâturés"/>
    <tableColumn id="4" name="Rdmt moyen en fonction de la région agricole(T MS/Ha)"/>
    <tableColumn id="5" name="Qualité Herbe"/>
    <tableColumn id="6" name="Rdmt MS"/>
    <tableColumn id="7" name="Production énergétique"/>
    <tableColumn id="8" name="Production protéique"/>
  </tableColumns>
  <tableStyleInfo name="TableStyleMedium2" showFirstColumn="0" showLastColumn="0" showRowStripes="1" showColumnStripes="0"/>
</table>
</file>

<file path=xl/tables/table3.xml><?xml version="1.0" encoding="utf-8"?>
<table xmlns="http://schemas.openxmlformats.org/spreadsheetml/2006/main" id="3" name="Tableau3" displayName="Tableau3" ref="L3:P13" totalsRowShown="0" headerRowDxfId="135" dataDxfId="133" headerRowBorderDxfId="134">
  <autoFilter ref="L3:P13">
    <filterColumn colId="0" hiddenButton="1"/>
    <filterColumn colId="1" hiddenButton="1"/>
    <filterColumn colId="2" hiddenButton="1"/>
    <filterColumn colId="3" hiddenButton="1"/>
    <filterColumn colId="4" hiddenButton="1"/>
  </autoFilter>
  <tableColumns count="5">
    <tableColumn id="1" name="Régions agricoles" dataDxfId="132"/>
    <tableColumn id="2" name="Rendement" dataDxfId="131"/>
    <tableColumn id="3" name="Moyenne" dataDxfId="130"/>
    <tableColumn id="4" name="Rendement " dataDxfId="129"/>
    <tableColumn id="5" name="Moyenne " dataDxfId="128"/>
  </tableColumns>
  <tableStyleInfo name="TableStyleMedium2" showFirstColumn="0" showLastColumn="0" showRowStripes="1" showColumnStripes="0"/>
</table>
</file>

<file path=xl/tables/table4.xml><?xml version="1.0" encoding="utf-8"?>
<table xmlns="http://schemas.openxmlformats.org/spreadsheetml/2006/main" id="9" name="Tableau51011121510" displayName="Tableau51011121510" ref="B3:I11" totalsRowShown="0" headerRowDxfId="127" headerRowBorderDxfId="126" tableBorderDxfId="125">
  <autoFilter ref="B3:I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Stock" dataDxfId="124"/>
    <tableColumn id="2" name="Quantités (T)" dataDxfId="123">
      <calculatedColumnFormula>SUM(C3:C3)</calculatedColumnFormula>
    </tableColumn>
    <tableColumn id="3" name="% MS"/>
    <tableColumn id="4" name=" T de MS"/>
    <tableColumn id="5" name="VEM/kg de MS" dataDxfId="122">
      <calculatedColumnFormula>SUM(F3:F3)</calculatedColumnFormula>
    </tableColumn>
    <tableColumn id="7" name="VEM Totaux" dataDxfId="121"/>
    <tableColumn id="6" name="g de DVE/kg de MS" dataDxfId="120">
      <calculatedColumnFormula>SUM(#REF!)</calculatedColumnFormula>
    </tableColumn>
    <tableColumn id="8" name="Kg de DVE Totaux" dataDxfId="119"/>
  </tableColumns>
  <tableStyleInfo name="TableStyleMedium2" showFirstColumn="0" showLastColumn="0" showRowStripes="1" showColumnStripes="0"/>
</table>
</file>

<file path=xl/tables/table5.xml><?xml version="1.0" encoding="utf-8"?>
<table xmlns="http://schemas.openxmlformats.org/spreadsheetml/2006/main" id="6" name="Tableau6" displayName="Tableau6" ref="B3:L17" totalsRowShown="0" headerRowDxfId="118" headerRowBorderDxfId="117" tableBorderDxfId="116">
  <autoFilter ref="B3:L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inventaire du troupeau" dataDxfId="115"/>
    <tableColumn id="2" name="Nbre d'animaux" dataDxfId="114"/>
    <tableColumn id="3" name="Valeurs UGB alimentaires" dataDxfId="113"/>
    <tableColumn id="4" name="Nbre d'UGB" dataDxfId="112"/>
    <tableColumn id="5" name="Poids moyen animal (Kg)" dataDxfId="111"/>
    <tableColumn id="6" name="Production laitière/vache/jour (Kg)" dataDxfId="110"/>
    <tableColumn id="7" name="Taux de MG du lait (%)" dataDxfId="109"/>
    <tableColumn id="8" name="Taux protéique du lait (%)" dataDxfId="108"/>
    <tableColumn id="9" name="Ingestion (Kg MS/an)" dataDxfId="107"/>
    <tableColumn id="10" name="Ingestion VEM/an" dataDxfId="106"/>
    <tableColumn id="11" name="Ingestion g DVE/an" dataDxfId="105"/>
  </tableColumns>
  <tableStyleInfo name="TableStyleMedium2" showFirstColumn="0" showLastColumn="0" showRowStripes="1" showColumnStripes="0"/>
</table>
</file>

<file path=xl/tables/table6.xml><?xml version="1.0" encoding="utf-8"?>
<table xmlns="http://schemas.openxmlformats.org/spreadsheetml/2006/main" id="7" name="Tableau7" displayName="Tableau7" ref="B4:H22" totalsRowShown="0" headerRowDxfId="104" headerRowBorderDxfId="103" tableBorderDxfId="102">
  <autoFilter ref="B4:H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Inventaire du troupeau" dataDxfId="101"/>
    <tableColumn id="2" name="Nbre d'animaux" dataDxfId="100"/>
    <tableColumn id="3" name="Valeurs UGB alimentaires" dataDxfId="99"/>
    <tableColumn id="4" name="Nbre d'UGB" dataDxfId="98"/>
    <tableColumn id="6" name="Ingestion (Kg MS/an)" dataDxfId="97"/>
    <tableColumn id="7" name="Ingestion VEM/an" dataDxfId="96"/>
    <tableColumn id="8" name="Ingestion g DVE/an" dataDxfId="95"/>
  </tableColumns>
  <tableStyleInfo name="TableStyleMedium2" showFirstColumn="0" showLastColumn="0" showRowStripes="1" showColumnStripes="0"/>
</table>
</file>

<file path=xl/tables/table7.xml><?xml version="1.0" encoding="utf-8"?>
<table xmlns="http://schemas.openxmlformats.org/spreadsheetml/2006/main" id="8" name="Tableau8" displayName="Tableau8" ref="B24:H43" totalsRowShown="0" headerRowDxfId="94" tableBorderDxfId="93">
  <autoFilter ref="B24:H4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Inventaire du troupeau" dataDxfId="92"/>
    <tableColumn id="2" name="Nbre d'animaux" dataDxfId="91"/>
    <tableColumn id="3" name="Valeurs UGB alimentaires" dataDxfId="90"/>
    <tableColumn id="4" name="Nbre d'UGB" dataDxfId="89"/>
    <tableColumn id="6" name="Ingestion (Kg MS/an)" dataDxfId="88"/>
    <tableColumn id="7" name="Ingestion VEM/an" dataDxfId="87"/>
    <tableColumn id="8" name="Ingestion g DVE/an" dataDxfId="86"/>
  </tableColumns>
  <tableStyleInfo name="TableStyleMedium2" showFirstColumn="0" showLastColumn="0" showRowStripes="1" showColumnStripes="0"/>
</table>
</file>

<file path=xl/tables/table8.xml><?xml version="1.0" encoding="utf-8"?>
<table xmlns="http://schemas.openxmlformats.org/spreadsheetml/2006/main" id="15" name="Tableau15" displayName="Tableau15" ref="B3:E11" totalsRowShown="0" headerRowDxfId="85" headerRowBorderDxfId="84" tableBorderDxfId="83" totalsRowBorderDxfId="82">
  <autoFilter ref="B3:E11">
    <filterColumn colId="0" hiddenButton="1"/>
    <filterColumn colId="1" hiddenButton="1"/>
    <filterColumn colId="2" hiddenButton="1"/>
    <filterColumn colId="3" hiddenButton="1"/>
  </autoFilter>
  <tableColumns count="4">
    <tableColumn id="1" name="Colonne1" dataDxfId="81"/>
    <tableColumn id="2" name="Nbre d'animaux" dataDxfId="80"/>
    <tableColumn id="3" name="Valeur UGB" dataDxfId="79"/>
    <tableColumn id="4" name="Nbre d'UGB" dataDxfId="78"/>
  </tableColumns>
  <tableStyleInfo name="TableStyleMedium2" showFirstColumn="0" showLastColumn="0" showRowStripes="1" showColumnStripes="0"/>
</table>
</file>

<file path=xl/tables/table9.xml><?xml version="1.0" encoding="utf-8"?>
<table xmlns="http://schemas.openxmlformats.org/spreadsheetml/2006/main" id="4" name="Tableau4" displayName="Tableau4" ref="B3:F21" totalsRowShown="0" headerRowDxfId="77" headerRowBorderDxfId="76" tableBorderDxfId="75">
  <autoFilter ref="B3:F21">
    <filterColumn colId="0" hiddenButton="1"/>
    <filterColumn colId="1" hiddenButton="1"/>
    <filterColumn colId="2" hiddenButton="1"/>
    <filterColumn colId="3" hiddenButton="1"/>
    <filterColumn colId="4" hiddenButton="1"/>
  </autoFilter>
  <tableColumns count="5">
    <tableColumn id="1" name="Type de culture" dataDxfId="74"/>
    <tableColumn id="2" name="Charges variables/an" dataDxfId="73"/>
    <tableColumn id="3" name="CV/Ha" dataDxfId="72"/>
    <tableColumn id="4" name="CV/T MF"/>
    <tableColumn id="5" name="CV/T MS" dataDxfId="71"/>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 Id="rId9"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table" Target="../tables/table16.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2BBE0"/>
  </sheetPr>
  <dimension ref="A1:Q38"/>
  <sheetViews>
    <sheetView showGridLines="0" tabSelected="1" topLeftCell="A2" zoomScale="80" zoomScaleNormal="80" workbookViewId="0">
      <selection activeCell="R23" sqref="R23"/>
    </sheetView>
  </sheetViews>
  <sheetFormatPr baseColWidth="10" defaultRowHeight="14.4" x14ac:dyDescent="0.3"/>
  <cols>
    <col min="1" max="1" width="0.77734375" customWidth="1"/>
    <col min="4" max="4" width="28" customWidth="1"/>
    <col min="11" max="11" width="17.21875" customWidth="1"/>
    <col min="12" max="12" width="13.77734375" customWidth="1"/>
    <col min="17" max="17" width="19.88671875" customWidth="1"/>
  </cols>
  <sheetData>
    <row r="1" spans="1:17" s="20" customFormat="1" ht="3.6" customHeight="1" x14ac:dyDescent="0.3"/>
    <row r="2" spans="1:17" ht="18.600000000000001" customHeight="1" x14ac:dyDescent="0.7">
      <c r="A2" s="17"/>
      <c r="B2" s="522" t="s">
        <v>284</v>
      </c>
      <c r="C2" s="522"/>
      <c r="D2" s="522"/>
      <c r="E2" s="522"/>
      <c r="F2" s="522"/>
      <c r="G2" s="522"/>
      <c r="H2" s="522"/>
      <c r="I2" s="522"/>
      <c r="J2" s="522"/>
      <c r="K2" s="522"/>
      <c r="L2" s="522"/>
      <c r="M2" s="522"/>
      <c r="N2" s="522"/>
      <c r="O2" s="522"/>
      <c r="P2" s="522"/>
      <c r="Q2" s="522"/>
    </row>
    <row r="3" spans="1:17" ht="14.4" customHeight="1" x14ac:dyDescent="0.3">
      <c r="B3" s="522"/>
      <c r="C3" s="522"/>
      <c r="D3" s="522"/>
      <c r="E3" s="522"/>
      <c r="F3" s="522"/>
      <c r="G3" s="522"/>
      <c r="H3" s="522"/>
      <c r="I3" s="522"/>
      <c r="J3" s="522"/>
      <c r="K3" s="522"/>
      <c r="L3" s="522"/>
      <c r="M3" s="522"/>
      <c r="N3" s="522"/>
      <c r="O3" s="522"/>
      <c r="P3" s="522"/>
      <c r="Q3" s="522"/>
    </row>
    <row r="4" spans="1:17" ht="14.4" customHeight="1" x14ac:dyDescent="0.3">
      <c r="B4" s="522"/>
      <c r="C4" s="522"/>
      <c r="D4" s="522"/>
      <c r="E4" s="522"/>
      <c r="F4" s="522"/>
      <c r="G4" s="522"/>
      <c r="H4" s="522"/>
      <c r="I4" s="522"/>
      <c r="J4" s="522"/>
      <c r="K4" s="522"/>
      <c r="L4" s="522"/>
      <c r="M4" s="522"/>
      <c r="N4" s="522"/>
      <c r="O4" s="522"/>
      <c r="P4" s="522"/>
      <c r="Q4" s="522"/>
    </row>
    <row r="5" spans="1:17" ht="14.4" customHeight="1" x14ac:dyDescent="0.3">
      <c r="B5" s="522"/>
      <c r="C5" s="522"/>
      <c r="D5" s="522"/>
      <c r="E5" s="522"/>
      <c r="F5" s="522"/>
      <c r="G5" s="522"/>
      <c r="H5" s="522"/>
      <c r="I5" s="522"/>
      <c r="J5" s="522"/>
      <c r="K5" s="522"/>
      <c r="L5" s="522"/>
      <c r="M5" s="522"/>
      <c r="N5" s="522"/>
      <c r="O5" s="522"/>
      <c r="P5" s="522"/>
      <c r="Q5" s="522"/>
    </row>
    <row r="6" spans="1:17" x14ac:dyDescent="0.3">
      <c r="B6" s="14"/>
      <c r="C6" s="14"/>
      <c r="D6" s="14"/>
      <c r="E6" s="14"/>
      <c r="F6" s="14"/>
      <c r="G6" s="14"/>
      <c r="H6" s="14"/>
      <c r="I6" s="14"/>
      <c r="J6" s="14"/>
      <c r="K6" s="14"/>
      <c r="L6" s="14"/>
      <c r="M6" s="14"/>
      <c r="N6" s="14"/>
      <c r="O6" s="14"/>
      <c r="P6" s="14"/>
      <c r="Q6" s="14"/>
    </row>
    <row r="7" spans="1:17" x14ac:dyDescent="0.3">
      <c r="B7" s="14"/>
      <c r="C7" s="14"/>
      <c r="D7" s="14"/>
      <c r="E7" s="14"/>
      <c r="F7" s="14"/>
      <c r="G7" s="14"/>
      <c r="H7" s="14"/>
      <c r="I7" s="14"/>
      <c r="J7" s="14"/>
      <c r="K7" s="14"/>
      <c r="L7" s="14"/>
      <c r="M7" s="14"/>
      <c r="N7" s="14"/>
      <c r="O7" s="14"/>
      <c r="P7" s="14"/>
      <c r="Q7" s="14"/>
    </row>
    <row r="8" spans="1:17" x14ac:dyDescent="0.3">
      <c r="B8" s="14"/>
      <c r="C8" s="14"/>
      <c r="D8" s="14"/>
      <c r="E8" s="14"/>
      <c r="F8" s="14"/>
      <c r="G8" s="14"/>
      <c r="H8" s="14"/>
      <c r="I8" s="14"/>
      <c r="J8" s="14"/>
      <c r="K8" s="14"/>
      <c r="L8" s="14"/>
      <c r="M8" s="14"/>
      <c r="N8" s="14"/>
      <c r="O8" s="14"/>
      <c r="P8" s="14"/>
      <c r="Q8" s="14"/>
    </row>
    <row r="9" spans="1:17" x14ac:dyDescent="0.3">
      <c r="B9" s="14"/>
      <c r="C9" s="14"/>
      <c r="D9" s="14"/>
      <c r="E9" s="14"/>
      <c r="F9" s="14"/>
      <c r="G9" s="14"/>
      <c r="H9" s="14"/>
      <c r="I9" s="14"/>
      <c r="J9" s="14"/>
      <c r="K9" s="14"/>
      <c r="L9" s="14"/>
      <c r="M9" s="14"/>
      <c r="N9" s="14"/>
      <c r="O9" s="14"/>
      <c r="P9" s="14"/>
      <c r="Q9" s="14"/>
    </row>
    <row r="10" spans="1:17" x14ac:dyDescent="0.3">
      <c r="B10" s="14"/>
      <c r="C10" s="21"/>
      <c r="D10" s="14"/>
      <c r="E10" s="14"/>
      <c r="F10" s="14"/>
      <c r="G10" s="14"/>
      <c r="H10" s="14"/>
      <c r="I10" s="14"/>
      <c r="J10" s="14"/>
      <c r="K10" s="14"/>
      <c r="L10" s="14"/>
      <c r="M10" s="14"/>
      <c r="N10" s="14"/>
      <c r="O10" s="14"/>
      <c r="P10" s="14"/>
      <c r="Q10" s="14"/>
    </row>
    <row r="11" spans="1:17" x14ac:dyDescent="0.3">
      <c r="B11" s="14"/>
      <c r="C11" s="14"/>
      <c r="D11" s="14"/>
      <c r="E11" s="14"/>
      <c r="F11" s="14"/>
      <c r="G11" s="14"/>
      <c r="H11" s="14"/>
      <c r="I11" s="14"/>
      <c r="J11" s="14"/>
      <c r="K11" s="14"/>
      <c r="L11" s="14"/>
      <c r="M11" s="14"/>
      <c r="N11" s="14"/>
      <c r="O11" s="14"/>
      <c r="P11" s="14"/>
      <c r="Q11" s="14"/>
    </row>
    <row r="12" spans="1:17" x14ac:dyDescent="0.3">
      <c r="B12" s="14"/>
      <c r="C12" s="14"/>
      <c r="D12" s="14"/>
      <c r="E12" s="14"/>
      <c r="F12" s="14"/>
      <c r="G12" s="14"/>
      <c r="H12" s="14"/>
      <c r="I12" s="14"/>
      <c r="J12" s="14"/>
      <c r="K12" s="14"/>
      <c r="L12" s="14"/>
      <c r="M12" s="14"/>
      <c r="N12" s="14"/>
      <c r="O12" s="14"/>
      <c r="P12" s="14"/>
      <c r="Q12" s="14"/>
    </row>
    <row r="13" spans="1:17" x14ac:dyDescent="0.3">
      <c r="B13" s="14"/>
      <c r="C13" s="14"/>
      <c r="D13" s="14"/>
      <c r="E13" s="14"/>
      <c r="F13" s="14"/>
      <c r="G13" s="14"/>
      <c r="H13" s="14"/>
      <c r="I13" s="14"/>
      <c r="J13" s="14"/>
      <c r="K13" s="14"/>
      <c r="L13" s="14"/>
      <c r="M13" s="14"/>
      <c r="N13" s="14"/>
      <c r="O13" s="14"/>
      <c r="P13" s="14"/>
      <c r="Q13" s="14"/>
    </row>
    <row r="14" spans="1:17" x14ac:dyDescent="0.3">
      <c r="B14" s="14"/>
      <c r="C14" s="14"/>
      <c r="D14" s="14"/>
      <c r="E14" s="14"/>
      <c r="F14" s="14"/>
      <c r="G14" s="14"/>
      <c r="H14" s="14"/>
      <c r="I14" s="14"/>
      <c r="J14" s="14"/>
      <c r="K14" s="14"/>
      <c r="L14" s="14"/>
      <c r="M14" s="14"/>
      <c r="N14" s="14"/>
      <c r="O14" s="14"/>
      <c r="P14" s="14"/>
      <c r="Q14" s="14"/>
    </row>
    <row r="15" spans="1:17" x14ac:dyDescent="0.3">
      <c r="B15" s="14"/>
      <c r="C15" s="14"/>
      <c r="D15" s="14"/>
      <c r="E15" s="14"/>
      <c r="F15" s="14"/>
      <c r="G15" s="14"/>
      <c r="H15" s="14"/>
      <c r="I15" s="14"/>
      <c r="J15" s="14"/>
      <c r="K15" s="14"/>
      <c r="L15" s="14"/>
      <c r="M15" s="14"/>
      <c r="N15" s="14"/>
      <c r="O15" s="14"/>
      <c r="P15" s="14"/>
      <c r="Q15" s="14"/>
    </row>
    <row r="16" spans="1:17" x14ac:dyDescent="0.3">
      <c r="B16" s="14"/>
      <c r="C16" s="14"/>
      <c r="D16" s="14"/>
      <c r="E16" s="14"/>
      <c r="F16" s="14"/>
      <c r="G16" s="14"/>
      <c r="H16" s="14"/>
      <c r="I16" s="14"/>
      <c r="J16" s="14"/>
      <c r="K16" s="14"/>
      <c r="L16" s="14"/>
      <c r="M16" s="14"/>
      <c r="N16" s="14"/>
      <c r="O16" s="14"/>
      <c r="P16" s="14"/>
      <c r="Q16" s="14"/>
    </row>
    <row r="17" spans="2:17" x14ac:dyDescent="0.3">
      <c r="B17" s="14"/>
      <c r="C17" s="14"/>
      <c r="D17" s="14"/>
      <c r="E17" s="14"/>
      <c r="F17" s="14"/>
      <c r="G17" s="14"/>
      <c r="H17" s="14"/>
      <c r="I17" s="14"/>
      <c r="J17" s="14"/>
      <c r="K17" s="14"/>
      <c r="L17" s="14"/>
      <c r="M17" s="14"/>
      <c r="N17" s="14"/>
      <c r="O17" s="14"/>
      <c r="P17" s="14"/>
      <c r="Q17" s="14"/>
    </row>
    <row r="18" spans="2:17" x14ac:dyDescent="0.3">
      <c r="B18" s="14"/>
      <c r="C18" s="14"/>
      <c r="D18" s="14"/>
      <c r="E18" s="14"/>
      <c r="F18" s="14"/>
      <c r="G18" s="14"/>
      <c r="H18" s="14"/>
      <c r="I18" s="14"/>
      <c r="J18" s="14"/>
      <c r="K18" s="14"/>
      <c r="L18" s="14"/>
      <c r="M18" s="14"/>
      <c r="N18" s="14"/>
      <c r="O18" s="14"/>
      <c r="P18" s="14"/>
      <c r="Q18" s="14"/>
    </row>
    <row r="19" spans="2:17" x14ac:dyDescent="0.3">
      <c r="B19" s="14"/>
      <c r="C19" s="14"/>
      <c r="D19" s="14"/>
      <c r="E19" s="14"/>
      <c r="F19" s="14"/>
      <c r="G19" s="14"/>
      <c r="H19" s="14"/>
      <c r="I19" s="14"/>
      <c r="J19" s="14"/>
      <c r="K19" s="14"/>
      <c r="L19" s="14"/>
      <c r="M19" s="14"/>
      <c r="N19" s="14"/>
      <c r="O19" s="14"/>
      <c r="P19" s="14"/>
      <c r="Q19" s="14"/>
    </row>
    <row r="20" spans="2:17" x14ac:dyDescent="0.3">
      <c r="B20" s="14"/>
      <c r="C20" s="14"/>
      <c r="D20" s="14"/>
      <c r="E20" s="14"/>
      <c r="F20" s="14"/>
      <c r="G20" s="14"/>
      <c r="H20" s="14"/>
      <c r="I20" s="14"/>
      <c r="J20" s="14"/>
      <c r="K20" s="14"/>
      <c r="L20" s="14"/>
      <c r="M20" s="14"/>
      <c r="N20" s="14"/>
      <c r="O20" s="14"/>
      <c r="P20" s="14"/>
      <c r="Q20" s="14"/>
    </row>
    <row r="21" spans="2:17" x14ac:dyDescent="0.3">
      <c r="B21" s="14"/>
      <c r="C21" s="14"/>
      <c r="D21" s="14"/>
      <c r="E21" s="14"/>
      <c r="F21" s="14"/>
      <c r="G21" s="14"/>
      <c r="H21" s="14"/>
      <c r="I21" s="14"/>
      <c r="J21" s="14"/>
      <c r="K21" s="14"/>
      <c r="L21" s="14"/>
      <c r="M21" s="14"/>
      <c r="N21" s="14"/>
      <c r="O21" s="14"/>
      <c r="P21" s="14"/>
      <c r="Q21" s="14"/>
    </row>
    <row r="22" spans="2:17" x14ac:dyDescent="0.3">
      <c r="B22" s="14"/>
      <c r="C22" s="14"/>
      <c r="D22" s="14"/>
      <c r="E22" s="14"/>
      <c r="F22" s="14"/>
      <c r="G22" s="14"/>
      <c r="H22" s="14"/>
      <c r="I22" s="14"/>
      <c r="J22" s="14"/>
      <c r="K22" s="14"/>
      <c r="L22" s="14"/>
      <c r="M22" s="14"/>
      <c r="N22" s="14"/>
      <c r="O22" s="14"/>
      <c r="P22" s="14"/>
      <c r="Q22" s="14"/>
    </row>
    <row r="23" spans="2:17" x14ac:dyDescent="0.3">
      <c r="B23" s="14"/>
      <c r="C23" s="14"/>
      <c r="D23" s="14"/>
      <c r="E23" s="14"/>
      <c r="F23" s="14"/>
      <c r="G23" s="14"/>
      <c r="H23" s="14"/>
      <c r="I23" s="14"/>
      <c r="J23" s="14"/>
      <c r="K23" s="14"/>
      <c r="L23" s="14"/>
      <c r="M23" s="14"/>
      <c r="N23" s="14"/>
      <c r="O23" s="14"/>
      <c r="P23" s="14"/>
      <c r="Q23" s="14"/>
    </row>
    <row r="24" spans="2:17" x14ac:dyDescent="0.3">
      <c r="B24" s="14"/>
      <c r="C24" s="14"/>
      <c r="D24" s="14"/>
      <c r="E24" s="14"/>
      <c r="F24" s="14"/>
      <c r="G24" s="14"/>
      <c r="H24" s="14"/>
      <c r="I24" s="14"/>
      <c r="J24" s="14"/>
      <c r="K24" s="14"/>
      <c r="L24" s="14"/>
      <c r="M24" s="14"/>
      <c r="N24" s="14"/>
      <c r="O24" s="14"/>
      <c r="P24" s="14"/>
      <c r="Q24" s="14"/>
    </row>
    <row r="25" spans="2:17" x14ac:dyDescent="0.3">
      <c r="B25" s="14"/>
      <c r="C25" s="14"/>
      <c r="D25" s="14"/>
      <c r="E25" s="14"/>
      <c r="F25" s="14"/>
      <c r="G25" s="14"/>
      <c r="H25" s="14"/>
      <c r="I25" s="14"/>
      <c r="J25" s="14"/>
      <c r="K25" s="14"/>
      <c r="L25" s="14"/>
      <c r="M25" s="14"/>
      <c r="N25" s="14"/>
      <c r="O25" s="14"/>
      <c r="P25" s="14"/>
      <c r="Q25" s="14"/>
    </row>
    <row r="26" spans="2:17" x14ac:dyDescent="0.3">
      <c r="B26" s="14"/>
      <c r="C26" s="14"/>
      <c r="D26" s="14"/>
      <c r="E26" s="14"/>
      <c r="F26" s="14"/>
      <c r="G26" s="14"/>
      <c r="H26" s="14"/>
      <c r="I26" s="14"/>
      <c r="J26" s="14"/>
      <c r="K26" s="14"/>
      <c r="L26" s="14"/>
      <c r="M26" s="14"/>
      <c r="N26" s="14"/>
      <c r="O26" s="14"/>
      <c r="P26" s="14"/>
      <c r="Q26" s="14"/>
    </row>
    <row r="27" spans="2:17" x14ac:dyDescent="0.3">
      <c r="B27" s="14"/>
      <c r="C27" s="14"/>
      <c r="D27" s="14"/>
      <c r="E27" s="14"/>
      <c r="F27" s="14"/>
      <c r="G27" s="14"/>
      <c r="H27" s="14"/>
      <c r="I27" s="14"/>
      <c r="J27" s="14"/>
      <c r="K27" s="14"/>
      <c r="L27" s="14"/>
      <c r="M27" s="14"/>
      <c r="N27" s="14"/>
      <c r="O27" s="14"/>
      <c r="P27" s="14"/>
      <c r="Q27" s="14"/>
    </row>
    <row r="28" spans="2:17" x14ac:dyDescent="0.3">
      <c r="B28" s="14"/>
      <c r="C28" s="14"/>
      <c r="D28" s="14"/>
      <c r="E28" s="14"/>
      <c r="F28" s="14"/>
      <c r="G28" s="14"/>
      <c r="H28" s="14"/>
      <c r="I28" s="14"/>
      <c r="J28" s="14"/>
      <c r="K28" s="14"/>
      <c r="L28" s="14"/>
      <c r="M28" s="14"/>
      <c r="N28" s="14"/>
      <c r="O28" s="14"/>
      <c r="P28" s="14"/>
      <c r="Q28" s="14"/>
    </row>
    <row r="29" spans="2:17" x14ac:dyDescent="0.3">
      <c r="B29" s="14"/>
      <c r="C29" s="14"/>
      <c r="D29" s="14"/>
      <c r="E29" s="14"/>
      <c r="F29" s="14"/>
      <c r="G29" s="14"/>
      <c r="H29" s="14"/>
      <c r="I29" s="14"/>
      <c r="J29" s="14"/>
      <c r="K29" s="14"/>
      <c r="L29" s="14"/>
      <c r="M29" s="14"/>
      <c r="N29" s="14"/>
      <c r="O29" s="14"/>
      <c r="P29" s="14"/>
      <c r="Q29" s="14"/>
    </row>
    <row r="30" spans="2:17" x14ac:dyDescent="0.3">
      <c r="B30" s="14"/>
      <c r="C30" s="14"/>
      <c r="D30" s="14"/>
      <c r="E30" s="14"/>
      <c r="F30" s="14"/>
      <c r="G30" s="14"/>
      <c r="H30" s="14"/>
      <c r="I30" s="14"/>
      <c r="J30" s="14"/>
      <c r="K30" s="14"/>
      <c r="L30" s="14"/>
      <c r="M30" s="14"/>
      <c r="N30" s="14"/>
      <c r="O30" s="14"/>
      <c r="P30" s="14"/>
      <c r="Q30" s="14"/>
    </row>
    <row r="31" spans="2:17" x14ac:dyDescent="0.3">
      <c r="B31" s="14"/>
      <c r="C31" s="14"/>
      <c r="D31" s="14"/>
      <c r="E31" s="14"/>
      <c r="F31" s="14"/>
      <c r="G31" s="14"/>
      <c r="H31" s="14"/>
      <c r="I31" s="14"/>
      <c r="J31" s="14"/>
      <c r="K31" s="14"/>
      <c r="L31" s="14"/>
      <c r="M31" s="14"/>
      <c r="N31" s="14"/>
      <c r="O31" s="14"/>
      <c r="P31" s="14"/>
      <c r="Q31" s="14"/>
    </row>
    <row r="32" spans="2:17" x14ac:dyDescent="0.3">
      <c r="B32" s="14"/>
      <c r="C32" s="14"/>
      <c r="D32" s="14"/>
      <c r="E32" s="14"/>
      <c r="F32" s="14"/>
      <c r="G32" s="14"/>
      <c r="H32" s="14"/>
      <c r="I32" s="14"/>
      <c r="J32" s="14"/>
      <c r="K32" s="14"/>
      <c r="L32" s="14"/>
      <c r="M32" s="14"/>
      <c r="N32" s="14"/>
      <c r="O32" s="14"/>
      <c r="P32" s="14"/>
      <c r="Q32" s="14"/>
    </row>
    <row r="33" spans="2:17" x14ac:dyDescent="0.3">
      <c r="B33" s="14"/>
      <c r="C33" s="14"/>
      <c r="D33" s="14"/>
      <c r="E33" s="14"/>
      <c r="F33" s="14"/>
      <c r="G33" s="14"/>
      <c r="H33" s="14"/>
      <c r="I33" s="14"/>
      <c r="J33" s="14"/>
      <c r="K33" s="14"/>
      <c r="L33" s="14"/>
      <c r="M33" s="14"/>
      <c r="N33" s="14"/>
      <c r="O33" s="14"/>
      <c r="P33" s="14"/>
      <c r="Q33" s="14"/>
    </row>
    <row r="34" spans="2:17" x14ac:dyDescent="0.3">
      <c r="B34" s="14"/>
      <c r="C34" s="14"/>
      <c r="D34" s="14"/>
      <c r="E34" s="14"/>
      <c r="F34" s="14"/>
      <c r="G34" s="14"/>
      <c r="H34" s="14"/>
      <c r="I34" s="14"/>
      <c r="J34" s="14"/>
      <c r="K34" s="14"/>
      <c r="L34" s="14"/>
      <c r="M34" s="14"/>
      <c r="N34" s="14"/>
      <c r="O34" s="14"/>
      <c r="P34" s="14"/>
      <c r="Q34" s="14"/>
    </row>
    <row r="35" spans="2:17" x14ac:dyDescent="0.3">
      <c r="B35" s="14"/>
      <c r="C35" s="14"/>
      <c r="D35" s="14"/>
      <c r="E35" s="14"/>
      <c r="F35" s="14"/>
      <c r="G35" s="14"/>
      <c r="H35" s="14"/>
      <c r="I35" s="14"/>
      <c r="J35" s="14"/>
      <c r="K35" s="14"/>
      <c r="L35" s="14"/>
      <c r="M35" s="14"/>
      <c r="N35" s="14"/>
      <c r="O35" s="14"/>
      <c r="P35" s="14"/>
      <c r="Q35" s="14"/>
    </row>
    <row r="36" spans="2:17" ht="23.4" x14ac:dyDescent="0.45">
      <c r="B36" s="523" t="s">
        <v>280</v>
      </c>
      <c r="C36" s="523"/>
      <c r="D36" s="523"/>
      <c r="E36" s="523"/>
      <c r="F36" s="523"/>
      <c r="G36" s="523"/>
      <c r="H36" s="523"/>
      <c r="I36" s="523"/>
      <c r="J36" s="523"/>
      <c r="K36" s="523"/>
      <c r="L36" s="523"/>
      <c r="M36" s="523"/>
      <c r="N36" s="523"/>
      <c r="O36" s="523"/>
      <c r="P36" s="523"/>
      <c r="Q36" s="523"/>
    </row>
    <row r="37" spans="2:17" x14ac:dyDescent="0.3">
      <c r="B37" s="14"/>
      <c r="C37" s="14"/>
      <c r="D37" s="14"/>
      <c r="E37" s="14"/>
      <c r="F37" s="14"/>
      <c r="G37" s="14"/>
      <c r="H37" s="14"/>
      <c r="I37" s="14"/>
      <c r="J37" s="14"/>
      <c r="K37" s="14"/>
      <c r="L37" s="14"/>
      <c r="M37" s="14"/>
      <c r="N37" s="14"/>
      <c r="O37" s="14"/>
      <c r="P37" s="14"/>
      <c r="Q37" s="14"/>
    </row>
    <row r="38" spans="2:17" ht="24.6" customHeight="1" x14ac:dyDescent="0.3">
      <c r="B38" s="14"/>
      <c r="C38" s="14"/>
      <c r="D38" s="14"/>
      <c r="E38" s="14"/>
      <c r="F38" s="14"/>
      <c r="G38" s="14"/>
      <c r="H38" s="14"/>
      <c r="I38" s="14"/>
      <c r="J38" s="14"/>
      <c r="K38" s="14"/>
      <c r="L38" s="14"/>
      <c r="M38" s="14"/>
      <c r="N38" s="14"/>
      <c r="O38" s="14"/>
      <c r="P38" s="14"/>
      <c r="Q38" s="14"/>
    </row>
  </sheetData>
  <sheetProtection sheet="1" objects="1" scenarios="1" formatColumns="0" selectLockedCells="1"/>
  <mergeCells count="2">
    <mergeCell ref="B2:Q5"/>
    <mergeCell ref="B36:Q3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5"/>
  </sheetPr>
  <dimension ref="A1:L76"/>
  <sheetViews>
    <sheetView showGridLines="0" zoomScale="70" zoomScaleNormal="70" workbookViewId="0">
      <selection activeCell="C26" sqref="C26"/>
    </sheetView>
  </sheetViews>
  <sheetFormatPr baseColWidth="10" defaultRowHeight="14.4" x14ac:dyDescent="0.3"/>
  <cols>
    <col min="1" max="1" width="1" customWidth="1"/>
    <col min="2" max="2" width="36.109375" customWidth="1"/>
    <col min="3" max="3" width="29.88671875" customWidth="1"/>
    <col min="4" max="4" width="34.44140625" customWidth="1"/>
    <col min="5" max="5" width="27.44140625" customWidth="1"/>
    <col min="6" max="6" width="35.88671875" customWidth="1"/>
    <col min="7" max="7" width="39.21875" bestFit="1" customWidth="1"/>
    <col min="8" max="8" width="44" bestFit="1" customWidth="1"/>
    <col min="9" max="9" width="46.77734375" customWidth="1"/>
    <col min="10" max="10" width="30.21875" customWidth="1"/>
    <col min="11" max="11" width="25.21875" customWidth="1"/>
    <col min="12" max="12" width="27.21875" customWidth="1"/>
  </cols>
  <sheetData>
    <row r="1" spans="2:12" s="20" customFormat="1" ht="4.2" customHeight="1" thickBot="1" x14ac:dyDescent="0.35"/>
    <row r="2" spans="2:12" ht="27" customHeight="1" thickBot="1" x14ac:dyDescent="0.55000000000000004">
      <c r="B2" s="556" t="s">
        <v>303</v>
      </c>
      <c r="C2" s="558"/>
      <c r="D2" s="558"/>
      <c r="E2" s="558"/>
      <c r="F2" s="558"/>
      <c r="G2" s="558"/>
      <c r="H2" s="557"/>
    </row>
    <row r="3" spans="2:12" ht="23.4" customHeight="1" thickBot="1" x14ac:dyDescent="0.55000000000000004">
      <c r="B3" s="559" t="s">
        <v>132</v>
      </c>
      <c r="C3" s="560"/>
      <c r="D3" s="560"/>
      <c r="E3" s="560"/>
      <c r="F3" s="560"/>
      <c r="G3" s="560"/>
      <c r="H3" s="561"/>
      <c r="I3" s="15"/>
      <c r="J3" s="7"/>
      <c r="K3" s="6"/>
      <c r="L3" s="6"/>
    </row>
    <row r="4" spans="2:12" ht="21.6" thickBot="1" x14ac:dyDescent="0.45">
      <c r="B4" s="221" t="s">
        <v>246</v>
      </c>
      <c r="C4" s="222" t="s">
        <v>19</v>
      </c>
      <c r="D4" s="160" t="s">
        <v>352</v>
      </c>
      <c r="E4" s="160" t="s">
        <v>22</v>
      </c>
      <c r="F4" s="160" t="s">
        <v>30</v>
      </c>
      <c r="G4" s="161" t="s">
        <v>31</v>
      </c>
      <c r="H4" s="223" t="s">
        <v>32</v>
      </c>
    </row>
    <row r="5" spans="2:12" ht="18" x14ac:dyDescent="0.35">
      <c r="B5" s="214" t="s">
        <v>36</v>
      </c>
      <c r="C5" s="236"/>
      <c r="D5" s="208">
        <v>0.85</v>
      </c>
      <c r="E5" s="209">
        <f>$C5*$D5</f>
        <v>0</v>
      </c>
      <c r="F5" s="162">
        <f>12*365*Tableau7[[#This Row],[Nbre d''animaux]]</f>
        <v>0</v>
      </c>
      <c r="G5" s="163">
        <f>$F$5*800</f>
        <v>0</v>
      </c>
      <c r="H5" s="215">
        <f>$F$5*AVERAGE(40,70)</f>
        <v>0</v>
      </c>
    </row>
    <row r="6" spans="2:12" ht="18" x14ac:dyDescent="0.35">
      <c r="B6" s="214" t="s">
        <v>37</v>
      </c>
      <c r="C6" s="236"/>
      <c r="D6" s="208">
        <v>0.4</v>
      </c>
      <c r="E6" s="209">
        <f t="shared" ref="E6:E21" si="0">$C6*$D6</f>
        <v>0</v>
      </c>
      <c r="F6" s="162">
        <f>(12*365)*$E6</f>
        <v>0</v>
      </c>
      <c r="G6" s="163">
        <f>(800*12*365)*$E6</f>
        <v>0</v>
      </c>
      <c r="H6" s="215">
        <f>(12*365*AVERAGE(40,70))*$E6</f>
        <v>0</v>
      </c>
    </row>
    <row r="7" spans="2:12" ht="18" x14ac:dyDescent="0.35">
      <c r="B7" s="216" t="s">
        <v>38</v>
      </c>
      <c r="C7" s="237"/>
      <c r="D7" s="210">
        <v>0.6</v>
      </c>
      <c r="E7" s="209">
        <f t="shared" si="0"/>
        <v>0</v>
      </c>
      <c r="F7" s="162">
        <f t="shared" ref="F7:F21" si="1">(12*365)*$E7</f>
        <v>0</v>
      </c>
      <c r="G7" s="163">
        <f>(800*12*365)*$E7</f>
        <v>0</v>
      </c>
      <c r="H7" s="215">
        <f t="shared" ref="H7:H21" si="2">(12*365*AVERAGE(40,70))*$E7</f>
        <v>0</v>
      </c>
    </row>
    <row r="8" spans="2:12" ht="18" x14ac:dyDescent="0.35">
      <c r="B8" s="216" t="s">
        <v>39</v>
      </c>
      <c r="C8" s="237"/>
      <c r="D8" s="210">
        <v>0.8</v>
      </c>
      <c r="E8" s="209">
        <f t="shared" si="0"/>
        <v>0</v>
      </c>
      <c r="F8" s="162">
        <f t="shared" si="1"/>
        <v>0</v>
      </c>
      <c r="G8" s="163">
        <f>(800*12*365)*$E8</f>
        <v>0</v>
      </c>
      <c r="H8" s="215">
        <f t="shared" si="2"/>
        <v>0</v>
      </c>
    </row>
    <row r="9" spans="2:12" s="5" customFormat="1" ht="18" x14ac:dyDescent="0.35">
      <c r="B9" s="216" t="s">
        <v>40</v>
      </c>
      <c r="C9" s="237"/>
      <c r="D9" s="210">
        <v>0.9</v>
      </c>
      <c r="E9" s="209">
        <f t="shared" si="0"/>
        <v>0</v>
      </c>
      <c r="F9" s="162">
        <f t="shared" si="1"/>
        <v>0</v>
      </c>
      <c r="G9" s="163">
        <f t="shared" ref="G9:G21" si="3">(800*12*365)*$E9</f>
        <v>0</v>
      </c>
      <c r="H9" s="215">
        <f t="shared" si="2"/>
        <v>0</v>
      </c>
    </row>
    <row r="10" spans="2:12" ht="18" x14ac:dyDescent="0.35">
      <c r="B10" s="216" t="s">
        <v>41</v>
      </c>
      <c r="C10" s="237"/>
      <c r="D10" s="210">
        <v>0.95</v>
      </c>
      <c r="E10" s="209">
        <f t="shared" si="0"/>
        <v>0</v>
      </c>
      <c r="F10" s="162">
        <f t="shared" si="1"/>
        <v>0</v>
      </c>
      <c r="G10" s="163">
        <f t="shared" si="3"/>
        <v>0</v>
      </c>
      <c r="H10" s="215">
        <f t="shared" si="2"/>
        <v>0</v>
      </c>
    </row>
    <row r="11" spans="2:12" ht="18" x14ac:dyDescent="0.35">
      <c r="B11" s="216" t="s">
        <v>42</v>
      </c>
      <c r="C11" s="237"/>
      <c r="D11" s="210">
        <v>0.45</v>
      </c>
      <c r="E11" s="209">
        <f t="shared" si="0"/>
        <v>0</v>
      </c>
      <c r="F11" s="162">
        <f t="shared" si="1"/>
        <v>0</v>
      </c>
      <c r="G11" s="163">
        <f t="shared" si="3"/>
        <v>0</v>
      </c>
      <c r="H11" s="215">
        <f t="shared" si="2"/>
        <v>0</v>
      </c>
    </row>
    <row r="12" spans="2:12" s="5" customFormat="1" ht="18" x14ac:dyDescent="0.35">
      <c r="B12" s="216" t="s">
        <v>27</v>
      </c>
      <c r="C12" s="237"/>
      <c r="D12" s="210">
        <v>0.6</v>
      </c>
      <c r="E12" s="209">
        <f t="shared" si="0"/>
        <v>0</v>
      </c>
      <c r="F12" s="162">
        <f t="shared" si="1"/>
        <v>0</v>
      </c>
      <c r="G12" s="163">
        <f t="shared" si="3"/>
        <v>0</v>
      </c>
      <c r="H12" s="215">
        <f t="shared" si="2"/>
        <v>0</v>
      </c>
    </row>
    <row r="13" spans="2:12" s="5" customFormat="1" ht="18" x14ac:dyDescent="0.35">
      <c r="B13" s="216" t="s">
        <v>43</v>
      </c>
      <c r="C13" s="237"/>
      <c r="D13" s="210">
        <v>0.8</v>
      </c>
      <c r="E13" s="209">
        <f t="shared" si="0"/>
        <v>0</v>
      </c>
      <c r="F13" s="162">
        <f t="shared" si="1"/>
        <v>0</v>
      </c>
      <c r="G13" s="163">
        <f t="shared" si="3"/>
        <v>0</v>
      </c>
      <c r="H13" s="215">
        <f t="shared" si="2"/>
        <v>0</v>
      </c>
    </row>
    <row r="14" spans="2:12" ht="18" x14ac:dyDescent="0.35">
      <c r="B14" s="216" t="s">
        <v>44</v>
      </c>
      <c r="C14" s="237"/>
      <c r="D14" s="210">
        <v>1</v>
      </c>
      <c r="E14" s="209">
        <f t="shared" si="0"/>
        <v>0</v>
      </c>
      <c r="F14" s="162">
        <f t="shared" si="1"/>
        <v>0</v>
      </c>
      <c r="G14" s="163">
        <f t="shared" si="3"/>
        <v>0</v>
      </c>
      <c r="H14" s="215">
        <f t="shared" si="2"/>
        <v>0</v>
      </c>
    </row>
    <row r="15" spans="2:12" s="5" customFormat="1" ht="18" x14ac:dyDescent="0.35">
      <c r="B15" s="216" t="s">
        <v>45</v>
      </c>
      <c r="C15" s="237"/>
      <c r="D15" s="210">
        <v>1</v>
      </c>
      <c r="E15" s="209">
        <f t="shared" si="0"/>
        <v>0</v>
      </c>
      <c r="F15" s="162">
        <f t="shared" si="1"/>
        <v>0</v>
      </c>
      <c r="G15" s="163">
        <f t="shared" si="3"/>
        <v>0</v>
      </c>
      <c r="H15" s="215">
        <f>(12*365*AVERAGE(40,70))*$E15</f>
        <v>0</v>
      </c>
    </row>
    <row r="16" spans="2:12" ht="18" customHeight="1" x14ac:dyDescent="0.35">
      <c r="B16" s="216" t="s">
        <v>46</v>
      </c>
      <c r="C16" s="237"/>
      <c r="D16" s="210">
        <v>1.2</v>
      </c>
      <c r="E16" s="209">
        <f t="shared" si="0"/>
        <v>0</v>
      </c>
      <c r="F16" s="162">
        <f t="shared" si="1"/>
        <v>0</v>
      </c>
      <c r="G16" s="163">
        <f t="shared" si="3"/>
        <v>0</v>
      </c>
      <c r="H16" s="215">
        <f t="shared" si="2"/>
        <v>0</v>
      </c>
    </row>
    <row r="17" spans="2:9" s="5" customFormat="1" ht="16.8" customHeight="1" x14ac:dyDescent="0.35">
      <c r="B17" s="216" t="s">
        <v>47</v>
      </c>
      <c r="C17" s="238"/>
      <c r="D17" s="210">
        <v>0.45</v>
      </c>
      <c r="E17" s="209">
        <f t="shared" si="0"/>
        <v>0</v>
      </c>
      <c r="F17" s="162">
        <f t="shared" si="1"/>
        <v>0</v>
      </c>
      <c r="G17" s="163">
        <f t="shared" si="3"/>
        <v>0</v>
      </c>
      <c r="H17" s="215">
        <f t="shared" si="2"/>
        <v>0</v>
      </c>
    </row>
    <row r="18" spans="2:9" s="5" customFormat="1" ht="16.8" customHeight="1" x14ac:dyDescent="0.35">
      <c r="B18" s="216" t="s">
        <v>48</v>
      </c>
      <c r="C18" s="238"/>
      <c r="D18" s="210">
        <v>0.6</v>
      </c>
      <c r="E18" s="209">
        <f t="shared" si="0"/>
        <v>0</v>
      </c>
      <c r="F18" s="162">
        <f t="shared" si="1"/>
        <v>0</v>
      </c>
      <c r="G18" s="163">
        <f t="shared" si="3"/>
        <v>0</v>
      </c>
      <c r="H18" s="215">
        <f t="shared" si="2"/>
        <v>0</v>
      </c>
    </row>
    <row r="19" spans="2:9" s="5" customFormat="1" ht="17.399999999999999" customHeight="1" x14ac:dyDescent="0.35">
      <c r="B19" s="216" t="s">
        <v>49</v>
      </c>
      <c r="C19" s="238"/>
      <c r="D19" s="210">
        <v>0.8</v>
      </c>
      <c r="E19" s="209">
        <f t="shared" si="0"/>
        <v>0</v>
      </c>
      <c r="F19" s="162">
        <f t="shared" si="1"/>
        <v>0</v>
      </c>
      <c r="G19" s="163">
        <f t="shared" si="3"/>
        <v>0</v>
      </c>
      <c r="H19" s="215">
        <f t="shared" si="2"/>
        <v>0</v>
      </c>
    </row>
    <row r="20" spans="2:9" s="5" customFormat="1" ht="18.600000000000001" customHeight="1" x14ac:dyDescent="0.35">
      <c r="B20" s="216" t="s">
        <v>50</v>
      </c>
      <c r="C20" s="238"/>
      <c r="D20" s="210">
        <v>1</v>
      </c>
      <c r="E20" s="209">
        <f t="shared" si="0"/>
        <v>0</v>
      </c>
      <c r="F20" s="162">
        <f t="shared" si="1"/>
        <v>0</v>
      </c>
      <c r="G20" s="163">
        <f t="shared" si="3"/>
        <v>0</v>
      </c>
      <c r="H20" s="215">
        <f t="shared" si="2"/>
        <v>0</v>
      </c>
    </row>
    <row r="21" spans="2:9" ht="18.600000000000001" thickBot="1" x14ac:dyDescent="0.4">
      <c r="B21" s="217" t="s">
        <v>51</v>
      </c>
      <c r="C21" s="238"/>
      <c r="D21" s="211">
        <v>1</v>
      </c>
      <c r="E21" s="209">
        <f t="shared" si="0"/>
        <v>0</v>
      </c>
      <c r="F21" s="162">
        <f t="shared" si="1"/>
        <v>0</v>
      </c>
      <c r="G21" s="163">
        <f t="shared" si="3"/>
        <v>0</v>
      </c>
      <c r="H21" s="215">
        <f t="shared" si="2"/>
        <v>0</v>
      </c>
    </row>
    <row r="22" spans="2:9" ht="21.6" thickBot="1" x14ac:dyDescent="0.45">
      <c r="B22" s="218" t="s">
        <v>5</v>
      </c>
      <c r="C22" s="205">
        <f>SUM(C5:C21)</f>
        <v>0</v>
      </c>
      <c r="D22" s="206"/>
      <c r="E22" s="207">
        <f>SUM(E5:E21)</f>
        <v>0</v>
      </c>
      <c r="F22" s="185">
        <f>SUM(F5:F21)</f>
        <v>0</v>
      </c>
      <c r="G22" s="186">
        <f>SUM(G5:G21)</f>
        <v>0</v>
      </c>
      <c r="H22" s="219">
        <f>SUM(H5:H21)</f>
        <v>0</v>
      </c>
    </row>
    <row r="23" spans="2:9" ht="22.8" customHeight="1" thickBot="1" x14ac:dyDescent="0.55000000000000004">
      <c r="B23" s="562" t="s">
        <v>304</v>
      </c>
      <c r="C23" s="563"/>
      <c r="D23" s="563"/>
      <c r="E23" s="563"/>
      <c r="F23" s="224" t="s">
        <v>347</v>
      </c>
      <c r="G23" s="488"/>
      <c r="H23" s="489"/>
      <c r="I23" s="15"/>
    </row>
    <row r="24" spans="2:9" ht="21.6" thickBot="1" x14ac:dyDescent="0.45">
      <c r="B24" s="490" t="s">
        <v>246</v>
      </c>
      <c r="C24" s="491" t="s">
        <v>19</v>
      </c>
      <c r="D24" s="492" t="s">
        <v>352</v>
      </c>
      <c r="E24" s="492" t="s">
        <v>22</v>
      </c>
      <c r="F24" s="492" t="s">
        <v>30</v>
      </c>
      <c r="G24" s="493" t="s">
        <v>31</v>
      </c>
      <c r="H24" s="494" t="s">
        <v>32</v>
      </c>
    </row>
    <row r="25" spans="2:9" ht="18" x14ac:dyDescent="0.35">
      <c r="B25" s="220" t="s">
        <v>118</v>
      </c>
      <c r="C25" s="236"/>
      <c r="D25" s="212">
        <v>1</v>
      </c>
      <c r="E25" s="209">
        <f>Tableau8[[#This Row],[Nbre d''animaux]]*Tableau8[[#This Row],[Valeurs UGB alimentaires]]</f>
        <v>0</v>
      </c>
      <c r="F25" s="162">
        <f>13*365*Tableau8[[#This Row],[Nbre d''animaux]]</f>
        <v>0</v>
      </c>
      <c r="G25" s="163">
        <f>8200*365*$E25</f>
        <v>0</v>
      </c>
      <c r="H25" s="215">
        <f>768*365*$E25</f>
        <v>0</v>
      </c>
    </row>
    <row r="26" spans="2:9" s="5" customFormat="1" ht="18" x14ac:dyDescent="0.35">
      <c r="B26" s="216" t="s">
        <v>119</v>
      </c>
      <c r="C26" s="237"/>
      <c r="D26" s="210">
        <v>0.85</v>
      </c>
      <c r="E26" s="209">
        <f>Tableau8[[#This Row],[Nbre d''animaux]]*Tableau8[[#This Row],[Valeurs UGB alimentaires]]</f>
        <v>0</v>
      </c>
      <c r="F26" s="213">
        <f>(16*365)*$E26</f>
        <v>0</v>
      </c>
      <c r="G26" s="163">
        <f>8200*365*$E26</f>
        <v>0</v>
      </c>
      <c r="H26" s="215">
        <f>768*365*$E26</f>
        <v>0</v>
      </c>
    </row>
    <row r="27" spans="2:9" ht="18" x14ac:dyDescent="0.35">
      <c r="B27" s="214" t="s">
        <v>37</v>
      </c>
      <c r="C27" s="236"/>
      <c r="D27" s="208">
        <v>0.4</v>
      </c>
      <c r="E27" s="209">
        <f>Tableau8[[#This Row],[Nbre d''animaux]]*Tableau8[[#This Row],[Valeurs UGB alimentaires]]</f>
        <v>0</v>
      </c>
      <c r="F27" s="213">
        <f>(16*365)*$E27</f>
        <v>0</v>
      </c>
      <c r="G27" s="163">
        <f t="shared" ref="G27:G34" si="4">5700*365*$E27</f>
        <v>0</v>
      </c>
      <c r="H27" s="215">
        <f>420*365*$E27</f>
        <v>0</v>
      </c>
    </row>
    <row r="28" spans="2:9" ht="18" x14ac:dyDescent="0.35">
      <c r="B28" s="216" t="s">
        <v>38</v>
      </c>
      <c r="C28" s="237"/>
      <c r="D28" s="210">
        <v>0.6</v>
      </c>
      <c r="E28" s="209">
        <f>Tableau8[[#This Row],[Nbre d''animaux]]*Tableau8[[#This Row],[Valeurs UGB alimentaires]]</f>
        <v>0</v>
      </c>
      <c r="F28" s="213">
        <f t="shared" ref="F28:F42" si="5">(16*365)*$E28</f>
        <v>0</v>
      </c>
      <c r="G28" s="163">
        <f t="shared" si="4"/>
        <v>0</v>
      </c>
      <c r="H28" s="215">
        <f t="shared" ref="H28:H42" si="6">420*365*$E28</f>
        <v>0</v>
      </c>
    </row>
    <row r="29" spans="2:9" ht="18" x14ac:dyDescent="0.35">
      <c r="B29" s="216" t="s">
        <v>39</v>
      </c>
      <c r="C29" s="237"/>
      <c r="D29" s="210">
        <v>0.8</v>
      </c>
      <c r="E29" s="209">
        <f>Tableau8[[#This Row],[Nbre d''animaux]]*Tableau8[[#This Row],[Valeurs UGB alimentaires]]</f>
        <v>0</v>
      </c>
      <c r="F29" s="213">
        <f t="shared" si="5"/>
        <v>0</v>
      </c>
      <c r="G29" s="163">
        <f t="shared" si="4"/>
        <v>0</v>
      </c>
      <c r="H29" s="215">
        <f t="shared" si="6"/>
        <v>0</v>
      </c>
    </row>
    <row r="30" spans="2:9" ht="18" x14ac:dyDescent="0.35">
      <c r="B30" s="216" t="s">
        <v>40</v>
      </c>
      <c r="C30" s="237"/>
      <c r="D30" s="210">
        <v>0.9</v>
      </c>
      <c r="E30" s="209">
        <f>Tableau8[[#This Row],[Nbre d''animaux]]*Tableau8[[#This Row],[Valeurs UGB alimentaires]]</f>
        <v>0</v>
      </c>
      <c r="F30" s="213">
        <f t="shared" si="5"/>
        <v>0</v>
      </c>
      <c r="G30" s="163">
        <f t="shared" si="4"/>
        <v>0</v>
      </c>
      <c r="H30" s="215">
        <f t="shared" si="6"/>
        <v>0</v>
      </c>
    </row>
    <row r="31" spans="2:9" ht="18" x14ac:dyDescent="0.35">
      <c r="B31" s="216" t="s">
        <v>41</v>
      </c>
      <c r="C31" s="237"/>
      <c r="D31" s="210">
        <v>0.95</v>
      </c>
      <c r="E31" s="209">
        <f>Tableau8[[#This Row],[Nbre d''animaux]]*Tableau8[[#This Row],[Valeurs UGB alimentaires]]</f>
        <v>0</v>
      </c>
      <c r="F31" s="213">
        <f t="shared" si="5"/>
        <v>0</v>
      </c>
      <c r="G31" s="163">
        <f t="shared" si="4"/>
        <v>0</v>
      </c>
      <c r="H31" s="215">
        <f t="shared" si="6"/>
        <v>0</v>
      </c>
    </row>
    <row r="32" spans="2:9" ht="18" x14ac:dyDescent="0.35">
      <c r="B32" s="216" t="s">
        <v>42</v>
      </c>
      <c r="C32" s="237"/>
      <c r="D32" s="210">
        <v>0.45</v>
      </c>
      <c r="E32" s="209">
        <f>Tableau8[[#This Row],[Nbre d''animaux]]*Tableau8[[#This Row],[Valeurs UGB alimentaires]]</f>
        <v>0</v>
      </c>
      <c r="F32" s="213">
        <f t="shared" si="5"/>
        <v>0</v>
      </c>
      <c r="G32" s="163">
        <f t="shared" si="4"/>
        <v>0</v>
      </c>
      <c r="H32" s="215">
        <f t="shared" si="6"/>
        <v>0</v>
      </c>
    </row>
    <row r="33" spans="2:8" ht="18" x14ac:dyDescent="0.35">
      <c r="B33" s="216" t="s">
        <v>27</v>
      </c>
      <c r="C33" s="237"/>
      <c r="D33" s="210">
        <v>0.6</v>
      </c>
      <c r="E33" s="209">
        <f>Tableau8[[#This Row],[Nbre d''animaux]]*Tableau8[[#This Row],[Valeurs UGB alimentaires]]</f>
        <v>0</v>
      </c>
      <c r="F33" s="213">
        <f t="shared" si="5"/>
        <v>0</v>
      </c>
      <c r="G33" s="163">
        <f t="shared" si="4"/>
        <v>0</v>
      </c>
      <c r="H33" s="215">
        <f t="shared" si="6"/>
        <v>0</v>
      </c>
    </row>
    <row r="34" spans="2:8" ht="18" x14ac:dyDescent="0.35">
      <c r="B34" s="216" t="s">
        <v>43</v>
      </c>
      <c r="C34" s="237"/>
      <c r="D34" s="210">
        <v>0.8</v>
      </c>
      <c r="E34" s="209">
        <f>Tableau8[[#This Row],[Nbre d''animaux]]*Tableau8[[#This Row],[Valeurs UGB alimentaires]]</f>
        <v>0</v>
      </c>
      <c r="F34" s="213">
        <f t="shared" si="5"/>
        <v>0</v>
      </c>
      <c r="G34" s="163">
        <f t="shared" si="4"/>
        <v>0</v>
      </c>
      <c r="H34" s="215">
        <f t="shared" si="6"/>
        <v>0</v>
      </c>
    </row>
    <row r="35" spans="2:8" ht="18" x14ac:dyDescent="0.35">
      <c r="B35" s="216" t="s">
        <v>44</v>
      </c>
      <c r="C35" s="237"/>
      <c r="D35" s="210">
        <v>1</v>
      </c>
      <c r="E35" s="209">
        <f>Tableau8[[#This Row],[Nbre d''animaux]]*Tableau8[[#This Row],[Valeurs UGB alimentaires]]</f>
        <v>0</v>
      </c>
      <c r="F35" s="213">
        <f t="shared" si="5"/>
        <v>0</v>
      </c>
      <c r="G35" s="163">
        <f t="shared" ref="G35:G42" si="7">5700*365*$E35</f>
        <v>0</v>
      </c>
      <c r="H35" s="215">
        <f t="shared" si="6"/>
        <v>0</v>
      </c>
    </row>
    <row r="36" spans="2:8" ht="18" x14ac:dyDescent="0.35">
      <c r="B36" s="216" t="s">
        <v>45</v>
      </c>
      <c r="C36" s="237"/>
      <c r="D36" s="210">
        <v>1</v>
      </c>
      <c r="E36" s="209">
        <f>Tableau8[[#This Row],[Nbre d''animaux]]*Tableau8[[#This Row],[Valeurs UGB alimentaires]]</f>
        <v>0</v>
      </c>
      <c r="F36" s="213">
        <f t="shared" si="5"/>
        <v>0</v>
      </c>
      <c r="G36" s="163">
        <f t="shared" si="7"/>
        <v>0</v>
      </c>
      <c r="H36" s="215">
        <f t="shared" si="6"/>
        <v>0</v>
      </c>
    </row>
    <row r="37" spans="2:8" ht="18" x14ac:dyDescent="0.35">
      <c r="B37" s="216" t="s">
        <v>46</v>
      </c>
      <c r="C37" s="237"/>
      <c r="D37" s="210">
        <v>1.2</v>
      </c>
      <c r="E37" s="209">
        <f>Tableau8[[#This Row],[Nbre d''animaux]]*Tableau8[[#This Row],[Valeurs UGB alimentaires]]</f>
        <v>0</v>
      </c>
      <c r="F37" s="213">
        <f t="shared" si="5"/>
        <v>0</v>
      </c>
      <c r="G37" s="163">
        <f t="shared" si="7"/>
        <v>0</v>
      </c>
      <c r="H37" s="215">
        <f t="shared" si="6"/>
        <v>0</v>
      </c>
    </row>
    <row r="38" spans="2:8" ht="18" x14ac:dyDescent="0.35">
      <c r="B38" s="216" t="s">
        <v>47</v>
      </c>
      <c r="C38" s="238"/>
      <c r="D38" s="210">
        <v>0.45</v>
      </c>
      <c r="E38" s="209">
        <f>Tableau8[[#This Row],[Nbre d''animaux]]*Tableau8[[#This Row],[Valeurs UGB alimentaires]]</f>
        <v>0</v>
      </c>
      <c r="F38" s="213">
        <f t="shared" si="5"/>
        <v>0</v>
      </c>
      <c r="G38" s="163">
        <f t="shared" si="7"/>
        <v>0</v>
      </c>
      <c r="H38" s="215">
        <f t="shared" si="6"/>
        <v>0</v>
      </c>
    </row>
    <row r="39" spans="2:8" ht="18" x14ac:dyDescent="0.35">
      <c r="B39" s="216" t="s">
        <v>48</v>
      </c>
      <c r="C39" s="238"/>
      <c r="D39" s="210">
        <v>0.6</v>
      </c>
      <c r="E39" s="209">
        <f>Tableau8[[#This Row],[Nbre d''animaux]]*Tableau8[[#This Row],[Valeurs UGB alimentaires]]</f>
        <v>0</v>
      </c>
      <c r="F39" s="213">
        <f t="shared" si="5"/>
        <v>0</v>
      </c>
      <c r="G39" s="163">
        <f t="shared" si="7"/>
        <v>0</v>
      </c>
      <c r="H39" s="215">
        <f t="shared" si="6"/>
        <v>0</v>
      </c>
    </row>
    <row r="40" spans="2:8" ht="18" x14ac:dyDescent="0.35">
      <c r="B40" s="216" t="s">
        <v>49</v>
      </c>
      <c r="C40" s="238"/>
      <c r="D40" s="210">
        <v>0.8</v>
      </c>
      <c r="E40" s="209">
        <f>Tableau8[[#This Row],[Nbre d''animaux]]*Tableau8[[#This Row],[Valeurs UGB alimentaires]]</f>
        <v>0</v>
      </c>
      <c r="F40" s="213">
        <f t="shared" si="5"/>
        <v>0</v>
      </c>
      <c r="G40" s="163">
        <f t="shared" si="7"/>
        <v>0</v>
      </c>
      <c r="H40" s="215">
        <f t="shared" si="6"/>
        <v>0</v>
      </c>
    </row>
    <row r="41" spans="2:8" ht="18" x14ac:dyDescent="0.35">
      <c r="B41" s="216" t="s">
        <v>50</v>
      </c>
      <c r="C41" s="238"/>
      <c r="D41" s="210">
        <v>1</v>
      </c>
      <c r="E41" s="209">
        <f>Tableau8[[#This Row],[Nbre d''animaux]]*Tableau8[[#This Row],[Valeurs UGB alimentaires]]</f>
        <v>0</v>
      </c>
      <c r="F41" s="213">
        <f t="shared" si="5"/>
        <v>0</v>
      </c>
      <c r="G41" s="163">
        <f t="shared" si="7"/>
        <v>0</v>
      </c>
      <c r="H41" s="215">
        <f t="shared" si="6"/>
        <v>0</v>
      </c>
    </row>
    <row r="42" spans="2:8" ht="18.600000000000001" thickBot="1" x14ac:dyDescent="0.4">
      <c r="B42" s="217" t="s">
        <v>51</v>
      </c>
      <c r="C42" s="238"/>
      <c r="D42" s="211">
        <v>1</v>
      </c>
      <c r="E42" s="209">
        <f>Tableau8[[#This Row],[Nbre d''animaux]]*Tableau8[[#This Row],[Valeurs UGB alimentaires]]</f>
        <v>0</v>
      </c>
      <c r="F42" s="213">
        <f t="shared" si="5"/>
        <v>0</v>
      </c>
      <c r="G42" s="163">
        <f t="shared" si="7"/>
        <v>0</v>
      </c>
      <c r="H42" s="215">
        <f t="shared" si="6"/>
        <v>0</v>
      </c>
    </row>
    <row r="43" spans="2:8" ht="21.6" thickBot="1" x14ac:dyDescent="0.45">
      <c r="B43" s="225" t="s">
        <v>5</v>
      </c>
      <c r="C43" s="226">
        <f>SUM(C25:C42)</f>
        <v>0</v>
      </c>
      <c r="D43" s="227"/>
      <c r="E43" s="228">
        <f>SUM(E25:E42)</f>
        <v>0</v>
      </c>
      <c r="F43" s="229">
        <f>SUM(F25:F42)</f>
        <v>0</v>
      </c>
      <c r="G43" s="230">
        <f>SUM(G25:G42)</f>
        <v>0</v>
      </c>
      <c r="H43" s="231">
        <f>SUM(H25:H42)</f>
        <v>0</v>
      </c>
    </row>
    <row r="51" spans="1:1" s="14" customFormat="1" x14ac:dyDescent="0.3"/>
    <row r="52" spans="1:1" s="14" customFormat="1" x14ac:dyDescent="0.3">
      <c r="A52"/>
    </row>
    <row r="53" spans="1:1" s="14" customFormat="1" x14ac:dyDescent="0.3">
      <c r="A53"/>
    </row>
    <row r="76" s="14" customFormat="1" x14ac:dyDescent="0.3"/>
  </sheetData>
  <sheetProtection sheet="1" formatColumns="0" selectLockedCells="1"/>
  <mergeCells count="3">
    <mergeCell ref="B3:H3"/>
    <mergeCell ref="B2:H2"/>
    <mergeCell ref="B23:E23"/>
  </mergeCells>
  <dataValidations count="1">
    <dataValidation type="list" allowBlank="1" showInputMessage="1" showErrorMessage="1" sqref="F23">
      <formula1>"CHOISIR,LIMOUSINE,CHAROLAISE,BLONDE D'AQUITAINE,SALERS,AUBRAC"</formula1>
    </dataValidation>
  </dataValidations>
  <pageMargins left="0.7" right="0.7" top="0.75" bottom="0.75" header="0.3" footer="0.3"/>
  <pageSetup paperSize="9" orientation="portrait" r:id="rId1"/>
  <legacyDrawing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5" tint="-0.499984740745262"/>
  </sheetPr>
  <dimension ref="B1:E20"/>
  <sheetViews>
    <sheetView showGridLines="0" topLeftCell="B1" zoomScale="85" zoomScaleNormal="85" workbookViewId="0">
      <selection activeCell="B1" sqref="B1"/>
    </sheetView>
  </sheetViews>
  <sheetFormatPr baseColWidth="10" defaultRowHeight="14.4" x14ac:dyDescent="0.3"/>
  <cols>
    <col min="1" max="1" width="30.88671875" customWidth="1"/>
    <col min="2" max="2" width="52.5546875" customWidth="1"/>
    <col min="3" max="3" width="30.109375" customWidth="1"/>
    <col min="4" max="4" width="16.21875" customWidth="1"/>
    <col min="5" max="5" width="20.21875" customWidth="1"/>
  </cols>
  <sheetData>
    <row r="1" spans="2:5" s="20" customFormat="1" ht="29.4" customHeight="1" thickBot="1" x14ac:dyDescent="0.35"/>
    <row r="2" spans="2:5" ht="26.4" thickBot="1" x14ac:dyDescent="0.55000000000000004">
      <c r="B2" s="556" t="s">
        <v>307</v>
      </c>
      <c r="C2" s="558"/>
      <c r="D2" s="558"/>
      <c r="E2" s="557"/>
    </row>
    <row r="3" spans="2:5" ht="21.6" thickBot="1" x14ac:dyDescent="0.45">
      <c r="B3" s="242" t="s">
        <v>104</v>
      </c>
      <c r="C3" s="243" t="s">
        <v>19</v>
      </c>
      <c r="D3" s="243" t="s">
        <v>148</v>
      </c>
      <c r="E3" s="244" t="s">
        <v>22</v>
      </c>
    </row>
    <row r="4" spans="2:5" ht="18" x14ac:dyDescent="0.35">
      <c r="B4" s="171" t="s">
        <v>259</v>
      </c>
      <c r="C4" s="175">
        <f>SUM('⑥ Troupeau laitier '!C4,'⑥ Troupeau laitier '!C5,'⑥ Troupeau laitier '!C6,'⑥ Troupeau laitier '!C7)</f>
        <v>0</v>
      </c>
      <c r="D4" s="175">
        <v>1</v>
      </c>
      <c r="E4" s="245">
        <f>$C4*$D4</f>
        <v>0</v>
      </c>
    </row>
    <row r="5" spans="2:5" ht="18" x14ac:dyDescent="0.35">
      <c r="B5" s="172" t="s">
        <v>149</v>
      </c>
      <c r="C5" s="177">
        <f>SUM('⑦ Troupeau viandeux'!C25,'⑦ Troupeau viandeux'!C26)</f>
        <v>0</v>
      </c>
      <c r="D5" s="177">
        <v>0.8</v>
      </c>
      <c r="E5" s="245">
        <f t="shared" ref="E5:E10" si="0">$C5*$D5</f>
        <v>0</v>
      </c>
    </row>
    <row r="6" spans="2:5" ht="18" x14ac:dyDescent="0.35">
      <c r="B6" s="172" t="s">
        <v>150</v>
      </c>
      <c r="C6" s="177">
        <f>SUM('⑥ Troupeau laitier '!C8,'⑥ Troupeau laitier '!C12,'⑥ Troupeau laitier '!C14,Tableau7[[#This Row],[Nbre d''animaux]],'⑦ Troupeau viandeux'!C11,'⑦ Troupeau viandeux'!C17,'⑦ Troupeau viandeux'!C27,'⑦ Troupeau viandeux'!C32,'⑦ Troupeau viandeux'!C38)</f>
        <v>0</v>
      </c>
      <c r="D6" s="177">
        <v>0.4</v>
      </c>
      <c r="E6" s="245">
        <f t="shared" si="0"/>
        <v>0</v>
      </c>
    </row>
    <row r="7" spans="2:5" ht="18" x14ac:dyDescent="0.35">
      <c r="B7" s="172" t="s">
        <v>153</v>
      </c>
      <c r="C7" s="177">
        <f>SUM('⑥ Troupeau laitier '!C9,'⑥ Troupeau laitier '!C13,'⑥ Troupeau laitier '!C15,Tableau7[[#This Row],[Nbre d''animaux]],'⑦ Troupeau viandeux'!C12,'⑦ Troupeau viandeux'!C16,'⑦ Troupeau viandeux'!C18,'⑦ Troupeau viandeux'!C28,'⑦ Troupeau viandeux'!C33,'⑦ Troupeau viandeux'!C37,'⑦ Troupeau viandeux'!C39)</f>
        <v>0</v>
      </c>
      <c r="D7" s="177">
        <v>0.6</v>
      </c>
      <c r="E7" s="245">
        <f t="shared" si="0"/>
        <v>0</v>
      </c>
    </row>
    <row r="8" spans="2:5" ht="18" x14ac:dyDescent="0.35">
      <c r="B8" s="172" t="s">
        <v>152</v>
      </c>
      <c r="C8" s="177">
        <f>SUM('⑥ Troupeau laitier '!C11,'⑥ Troupeau laitier '!C16,'⑦ Troupeau viandeux'!C13,'⑦ Troupeau viandeux'!C14,'⑦ Troupeau viandeux'!C15,'⑦ Troupeau viandeux'!C19,'⑦ Troupeau viandeux'!C20,'⑦ Troupeau viandeux'!C21,'⑦ Troupeau viandeux'!C34,'⑦ Troupeau viandeux'!C35,'⑦ Troupeau viandeux'!C36,'⑦ Troupeau viandeux'!C40,'⑦ Troupeau viandeux'!C41,'⑦ Troupeau viandeux'!C42)</f>
        <v>0</v>
      </c>
      <c r="D8" s="177">
        <v>1</v>
      </c>
      <c r="E8" s="245">
        <f t="shared" si="0"/>
        <v>0</v>
      </c>
    </row>
    <row r="9" spans="2:5" ht="18" x14ac:dyDescent="0.35">
      <c r="B9" s="172" t="s">
        <v>151</v>
      </c>
      <c r="C9" s="177">
        <f>SUM('⑥ Troupeau laitier '!C10,'⑦ Troupeau viandeux'!C8,'⑦ Troupeau viandeux'!C29)</f>
        <v>0</v>
      </c>
      <c r="D9" s="177">
        <v>0.8</v>
      </c>
      <c r="E9" s="245">
        <f t="shared" si="0"/>
        <v>0</v>
      </c>
    </row>
    <row r="10" spans="2:5" ht="18.600000000000001" thickBot="1" x14ac:dyDescent="0.4">
      <c r="B10" s="174" t="s">
        <v>260</v>
      </c>
      <c r="C10" s="246">
        <f>SUM('⑦ Troupeau viandeux'!C9,Tableau7[[#This Row],[Nbre d''animaux]],'⑦ Troupeau viandeux'!C30,'⑦ Troupeau viandeux'!C31)</f>
        <v>0</v>
      </c>
      <c r="D10" s="246">
        <v>0.8</v>
      </c>
      <c r="E10" s="245">
        <f t="shared" si="0"/>
        <v>0</v>
      </c>
    </row>
    <row r="11" spans="2:5" ht="21.6" thickBot="1" x14ac:dyDescent="0.45">
      <c r="B11" s="239" t="s">
        <v>5</v>
      </c>
      <c r="C11" s="240">
        <f>SUM(C4:C10)</f>
        <v>0</v>
      </c>
      <c r="D11" s="227"/>
      <c r="E11" s="241">
        <f>SUM(E4:E10)</f>
        <v>0</v>
      </c>
    </row>
    <row r="12" spans="2:5" ht="15" thickBot="1" x14ac:dyDescent="0.35">
      <c r="B12" s="20"/>
      <c r="C12" s="20"/>
      <c r="D12" s="20"/>
      <c r="E12" s="20"/>
    </row>
    <row r="13" spans="2:5" ht="21.6" thickBot="1" x14ac:dyDescent="0.45">
      <c r="B13" s="16" t="s">
        <v>261</v>
      </c>
      <c r="C13" s="247" t="str">
        <f>IF('① Assolement '!D10=0,"",E11/'① Assolement '!D10)</f>
        <v/>
      </c>
      <c r="D13" s="20"/>
      <c r="E13" s="20"/>
    </row>
    <row r="14" spans="2:5" ht="15" thickBot="1" x14ac:dyDescent="0.35">
      <c r="B14" s="20"/>
      <c r="C14" s="20"/>
      <c r="D14" s="20"/>
      <c r="E14" s="20"/>
    </row>
    <row r="15" spans="2:5" ht="21.6" thickBot="1" x14ac:dyDescent="0.45">
      <c r="B15" s="16" t="s">
        <v>154</v>
      </c>
      <c r="C15" s="247" t="str">
        <f>IF(SUM('① Assolement '!D4,'① Assolement '!D5)=0,"",'⑧ Taux de chargement'!E11/SUM('① Assolement '!D4,'① Assolement '!D5))</f>
        <v/>
      </c>
      <c r="D15" s="20"/>
      <c r="E15" s="20"/>
    </row>
    <row r="16" spans="2:5" ht="15" thickBot="1" x14ac:dyDescent="0.35">
      <c r="B16" s="20"/>
      <c r="C16" s="20"/>
      <c r="D16" s="20"/>
      <c r="E16" s="20"/>
    </row>
    <row r="17" spans="2:5" ht="21.6" thickBot="1" x14ac:dyDescent="0.45">
      <c r="B17" s="16" t="s">
        <v>155</v>
      </c>
      <c r="C17" s="247" t="str">
        <f>IF('① Assolement '!D4=0,"",'⑧ Taux de chargement'!E11/'① Assolement '!D4)</f>
        <v/>
      </c>
      <c r="D17" s="20"/>
      <c r="E17" s="20"/>
    </row>
    <row r="18" spans="2:5" ht="15" thickBot="1" x14ac:dyDescent="0.35">
      <c r="B18" s="20"/>
      <c r="C18" s="20"/>
      <c r="D18" s="20"/>
      <c r="E18" s="20"/>
    </row>
    <row r="19" spans="2:5" ht="21.6" thickBot="1" x14ac:dyDescent="0.45">
      <c r="B19" s="16" t="s">
        <v>156</v>
      </c>
      <c r="C19" s="247" t="str">
        <f>IF('① Assolement '!D5=0,"",'⑧ Taux de chargement'!E11/'① Assolement '!D5)</f>
        <v/>
      </c>
      <c r="D19" s="20"/>
      <c r="E19" s="20"/>
    </row>
    <row r="20" spans="2:5" x14ac:dyDescent="0.3">
      <c r="B20" s="20"/>
      <c r="C20" s="20"/>
      <c r="D20" s="20"/>
      <c r="E20" s="20"/>
    </row>
  </sheetData>
  <sheetProtection sheet="1" formatColumns="0" selectLockedCells="1"/>
  <mergeCells count="1">
    <mergeCell ref="B2:E2"/>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theme="7" tint="0.39997558519241921"/>
  </sheetPr>
  <dimension ref="B1:J31"/>
  <sheetViews>
    <sheetView showGridLines="0" zoomScale="80" zoomScaleNormal="80" workbookViewId="0">
      <selection activeCell="C20" sqref="C20"/>
    </sheetView>
  </sheetViews>
  <sheetFormatPr baseColWidth="10" defaultRowHeight="14.4" x14ac:dyDescent="0.3"/>
  <cols>
    <col min="1" max="1" width="14.5546875" customWidth="1"/>
    <col min="2" max="2" width="44.77734375" customWidth="1"/>
    <col min="3" max="3" width="30" style="5" customWidth="1"/>
    <col min="4" max="4" width="16.5546875" customWidth="1"/>
    <col min="5" max="5" width="26.33203125" customWidth="1"/>
    <col min="6" max="6" width="22.21875" customWidth="1"/>
    <col min="8" max="8" width="27.21875" customWidth="1"/>
    <col min="9" max="9" width="30.21875" customWidth="1"/>
  </cols>
  <sheetData>
    <row r="1" spans="2:10" s="20" customFormat="1" ht="25.2" customHeight="1" thickBot="1" x14ac:dyDescent="0.35"/>
    <row r="2" spans="2:10" ht="26.4" thickBot="1" x14ac:dyDescent="0.55000000000000004">
      <c r="B2" s="556" t="s">
        <v>312</v>
      </c>
      <c r="C2" s="558"/>
      <c r="D2" s="558"/>
      <c r="E2" s="558"/>
      <c r="F2" s="557"/>
      <c r="G2" s="8"/>
      <c r="H2" s="8"/>
      <c r="I2" s="8"/>
      <c r="J2" s="8"/>
    </row>
    <row r="3" spans="2:10" ht="21.6" thickBot="1" x14ac:dyDescent="0.45">
      <c r="B3" s="188" t="s">
        <v>61</v>
      </c>
      <c r="C3" s="159" t="s">
        <v>127</v>
      </c>
      <c r="D3" s="159" t="s">
        <v>128</v>
      </c>
      <c r="E3" s="159" t="s">
        <v>129</v>
      </c>
      <c r="F3" s="189" t="s">
        <v>130</v>
      </c>
    </row>
    <row r="4" spans="2:10" ht="18" x14ac:dyDescent="0.35">
      <c r="B4" s="346" t="s">
        <v>2</v>
      </c>
      <c r="C4" s="359"/>
      <c r="D4" s="351" t="str">
        <f>IF(SUM('① Assolement '!D4,'① Assolement '!D5)=0,"",C4/SUM('① Assolement '!D4,'① Assolement '!D5))</f>
        <v/>
      </c>
      <c r="E4" s="351" t="str">
        <f>IF(SUM('② Récolte'!F29:F103)=0,"",C4/SUM('② Récolte'!F29:F103))</f>
        <v/>
      </c>
      <c r="F4" s="352" t="str">
        <f>IF(SUM('② Récolte'!H29:H103,'③ Pâturage'!H31)=0,"",$C$4/SUM('② Récolte'!H29:H103,'③ Pâturage'!H31))</f>
        <v/>
      </c>
    </row>
    <row r="5" spans="2:10" ht="18" x14ac:dyDescent="0.35">
      <c r="B5" s="347" t="s">
        <v>3</v>
      </c>
      <c r="C5" s="360"/>
      <c r="D5" s="353" t="str">
        <f>IF('② Récolte'!D4=0,"",$C$5/SUM('② Récolte'!D4:D7))</f>
        <v/>
      </c>
      <c r="E5" s="353" t="str">
        <f>IF('② Récolte'!F4=0,"",$C$5/SUM('② Récolte'!F4:F7))</f>
        <v/>
      </c>
      <c r="F5" s="354" t="str">
        <f>IF('② Récolte'!H4=0,"",$C$5/SUM('② Récolte'!H4:H7))</f>
        <v/>
      </c>
    </row>
    <row r="6" spans="2:10" ht="18" x14ac:dyDescent="0.35">
      <c r="B6" s="347" t="s">
        <v>234</v>
      </c>
      <c r="C6" s="360"/>
      <c r="D6" s="353" t="str">
        <f>IF('② Récolte'!D8=0,"",$C$6/'② Récolte'!D8)</f>
        <v/>
      </c>
      <c r="E6" s="353" t="str">
        <f>IF('② Récolte'!F8=0,"",$C6/'② Récolte'!F8)</f>
        <v/>
      </c>
      <c r="F6" s="354" t="str">
        <f>IF('② Récolte'!H8=0,"",$C$6/'② Récolte'!H8)</f>
        <v/>
      </c>
      <c r="H6" s="20"/>
    </row>
    <row r="7" spans="2:10" ht="18" x14ac:dyDescent="0.35">
      <c r="B7" s="347" t="s">
        <v>235</v>
      </c>
      <c r="C7" s="360"/>
      <c r="D7" s="353" t="str">
        <f>IF('② Récolte'!D9=0,"",$C$7/'② Récolte'!D9)</f>
        <v/>
      </c>
      <c r="E7" s="353" t="str">
        <f>IF('② Récolte'!F9=0,"",$C$7/'② Récolte'!F9)</f>
        <v/>
      </c>
      <c r="F7" s="354" t="str">
        <f>IF('② Récolte'!H9=0,"",$C$7/'② Récolte'!H9)</f>
        <v/>
      </c>
    </row>
    <row r="8" spans="2:10" ht="18" x14ac:dyDescent="0.35">
      <c r="B8" s="347" t="s">
        <v>236</v>
      </c>
      <c r="C8" s="360"/>
      <c r="D8" s="353" t="str">
        <f>IF('② Récolte'!D10=0,"",$C$8/'② Récolte'!D10)</f>
        <v/>
      </c>
      <c r="E8" s="353" t="str">
        <f>IF('② Récolte'!F10=0,"",$C$8/'② Récolte'!F10)</f>
        <v/>
      </c>
      <c r="F8" s="354" t="str">
        <f>IF('② Récolte'!H10=0,"",$C$8/'② Récolte'!H10)</f>
        <v/>
      </c>
    </row>
    <row r="9" spans="2:10" ht="18" x14ac:dyDescent="0.35">
      <c r="B9" s="347" t="s">
        <v>237</v>
      </c>
      <c r="C9" s="360"/>
      <c r="D9" s="353" t="str">
        <f>IF('② Récolte'!D11=0,"",$C$9/'② Récolte'!D11)</f>
        <v/>
      </c>
      <c r="E9" s="353" t="str">
        <f>IF('② Récolte'!F11=0,"",$C$9/'② Récolte'!F11)</f>
        <v/>
      </c>
      <c r="F9" s="354" t="str">
        <f>IF('② Récolte'!H11=0,"",$C$9/'② Récolte'!H11)</f>
        <v/>
      </c>
      <c r="H9" s="5"/>
      <c r="I9" s="5"/>
    </row>
    <row r="10" spans="2:10" ht="18" x14ac:dyDescent="0.35">
      <c r="B10" s="347" t="s">
        <v>238</v>
      </c>
      <c r="C10" s="360"/>
      <c r="D10" s="353" t="str">
        <f>IF('② Récolte'!D12=0,"",$C$10/'② Récolte'!D12)</f>
        <v/>
      </c>
      <c r="E10" s="353" t="str">
        <f>IF('② Récolte'!F12=0,"",$C$10/'② Récolte'!F12)</f>
        <v/>
      </c>
      <c r="F10" s="354" t="str">
        <f>IF('② Récolte'!H12=0,"",$C$10/'② Récolte'!H12)</f>
        <v/>
      </c>
      <c r="H10" s="5"/>
      <c r="I10" s="5"/>
    </row>
    <row r="11" spans="2:10" s="5" customFormat="1" ht="18" x14ac:dyDescent="0.35">
      <c r="B11" s="347" t="s">
        <v>275</v>
      </c>
      <c r="C11" s="360"/>
      <c r="D11" s="353" t="str">
        <f>IF('② Récolte'!D13=0,"",$C$11/'② Récolte'!D13)</f>
        <v/>
      </c>
      <c r="E11" s="353" t="str">
        <f>IF('② Récolte'!F13=0,"",$C$11/'② Récolte'!F13)</f>
        <v/>
      </c>
      <c r="F11" s="354" t="str">
        <f>IF('② Récolte'!H13=0,"",$C$11/'② Récolte'!H13)</f>
        <v/>
      </c>
    </row>
    <row r="12" spans="2:10" s="5" customFormat="1" ht="18" x14ac:dyDescent="0.35">
      <c r="B12" s="347" t="s">
        <v>62</v>
      </c>
      <c r="C12" s="360"/>
      <c r="D12" s="353" t="str">
        <f>IF('② Récolte'!D15=0,"",$C$12/'② Récolte'!D15)</f>
        <v/>
      </c>
      <c r="E12" s="353" t="str">
        <f>IF('② Récolte'!F15=0,"",$C$12/'② Récolte'!F15)</f>
        <v/>
      </c>
      <c r="F12" s="354" t="str">
        <f>IF('② Récolte'!H15=0,"",$C$12/'② Récolte'!H15)</f>
        <v/>
      </c>
      <c r="H12"/>
      <c r="I12"/>
    </row>
    <row r="13" spans="2:10" s="5" customFormat="1" ht="18" x14ac:dyDescent="0.35">
      <c r="B13" s="347" t="s">
        <v>63</v>
      </c>
      <c r="C13" s="360"/>
      <c r="D13" s="353" t="str">
        <f>IF('② Récolte'!D17=0,"",$C$13/'② Récolte'!D17)</f>
        <v/>
      </c>
      <c r="E13" s="353" t="str">
        <f>IF('② Récolte'!F17=0,"",$C$13/'② Récolte'!F17)</f>
        <v/>
      </c>
      <c r="F13" s="354" t="str">
        <f>IF('② Récolte'!H17=0,"",$C$13/'② Récolte'!H17)</f>
        <v/>
      </c>
      <c r="H13"/>
      <c r="I13"/>
    </row>
    <row r="14" spans="2:10" ht="18" x14ac:dyDescent="0.35">
      <c r="B14" s="347" t="s">
        <v>64</v>
      </c>
      <c r="C14" s="360"/>
      <c r="D14" s="353" t="str">
        <f>IF('② Récolte'!D19=0,"",$C$14/'② Récolte'!D19)</f>
        <v/>
      </c>
      <c r="E14" s="353" t="str">
        <f>IF('② Récolte'!F19=0,"",$C$14/'② Récolte'!F19)</f>
        <v/>
      </c>
      <c r="F14" s="354" t="str">
        <f>IF('② Récolte'!H19=0,"",$C$14/'② Récolte'!H19)</f>
        <v/>
      </c>
    </row>
    <row r="15" spans="2:10" ht="18" x14ac:dyDescent="0.35">
      <c r="B15" s="347" t="s">
        <v>65</v>
      </c>
      <c r="C15" s="360"/>
      <c r="D15" s="353" t="str">
        <f>IF('② Récolte'!D21=0,"",$C$15/'② Récolte'!D21)</f>
        <v/>
      </c>
      <c r="E15" s="353" t="str">
        <f>IF('② Récolte'!F21=0,"",$C$15/'② Récolte'!F21)</f>
        <v/>
      </c>
      <c r="F15" s="354" t="str">
        <f>IF('② Récolte'!H21=0,"",$C$15/'② Récolte'!H21)</f>
        <v/>
      </c>
    </row>
    <row r="16" spans="2:10" ht="18" x14ac:dyDescent="0.35">
      <c r="B16" s="347" t="s">
        <v>274</v>
      </c>
      <c r="C16" s="360"/>
      <c r="D16" s="353" t="str">
        <f>IF('② Récolte'!D23=0,"",$C$16/'② Récolte'!D23)</f>
        <v/>
      </c>
      <c r="E16" s="353" t="str">
        <f>IF('② Récolte'!F23=0,"",$C$16/'② Récolte'!F23)</f>
        <v/>
      </c>
      <c r="F16" s="354" t="str">
        <f>IF('② Récolte'!H23=0,"",$C$16/'② Récolte'!H23)</f>
        <v/>
      </c>
    </row>
    <row r="17" spans="2:6" ht="18" x14ac:dyDescent="0.35">
      <c r="B17" s="348" t="s">
        <v>239</v>
      </c>
      <c r="C17" s="361"/>
      <c r="D17" s="355" t="str">
        <f>IF('② Récolte'!D25=0,"",$C$17/'② Récolte'!D25)</f>
        <v/>
      </c>
      <c r="E17" s="355" t="str">
        <f>IF('② Récolte'!F25=0,"",$C$17/'② Récolte'!F25)</f>
        <v/>
      </c>
      <c r="F17" s="356" t="str">
        <f>IF('② Récolte'!H25=0,"",$C$17/'② Récolte'!H25)</f>
        <v/>
      </c>
    </row>
    <row r="18" spans="2:6" ht="18" x14ac:dyDescent="0.35">
      <c r="B18" s="349" t="s">
        <v>239</v>
      </c>
      <c r="C18" s="360"/>
      <c r="D18" s="355" t="str">
        <f>IF('② Récolte'!D26=0,"",$C$18/'② Récolte'!D26)</f>
        <v/>
      </c>
      <c r="E18" s="355" t="str">
        <f>IF('② Récolte'!F26=0,"",$C$18/'② Récolte'!F26)</f>
        <v/>
      </c>
      <c r="F18" s="356" t="str">
        <f>IF('② Récolte'!H26=0,"",$C$18/'② Récolte'!H26)</f>
        <v/>
      </c>
    </row>
    <row r="19" spans="2:6" ht="18" x14ac:dyDescent="0.35">
      <c r="B19" s="349" t="s">
        <v>239</v>
      </c>
      <c r="C19" s="360"/>
      <c r="D19" s="355" t="str">
        <f>IF('② Récolte'!D27=0,"",$C$19/'② Récolte'!D27)</f>
        <v/>
      </c>
      <c r="E19" s="355" t="str">
        <f>IF('② Récolte'!F27=0,"",$C$19/'② Récolte'!F27)</f>
        <v/>
      </c>
      <c r="F19" s="356" t="str">
        <f>IF('② Récolte'!H27=0,"",$C$19/'② Récolte'!H27)</f>
        <v/>
      </c>
    </row>
    <row r="20" spans="2:6" ht="18.600000000000001" thickBot="1" x14ac:dyDescent="0.4">
      <c r="B20" s="350" t="s">
        <v>239</v>
      </c>
      <c r="C20" s="362"/>
      <c r="D20" s="355" t="str">
        <f>IF('② Récolte'!D28=0,"",$C$20/'② Récolte'!D28)</f>
        <v/>
      </c>
      <c r="E20" s="355" t="str">
        <f>IF('② Récolte'!F28=0,"",$C$20/'② Récolte'!F28)</f>
        <v/>
      </c>
      <c r="F20" s="356" t="str">
        <f>IF('② Récolte'!H28=0,"",$C$20/'② Récolte'!H28)</f>
        <v/>
      </c>
    </row>
    <row r="21" spans="2:6" ht="21.6" thickBot="1" x14ac:dyDescent="0.45">
      <c r="B21" s="239" t="s">
        <v>5</v>
      </c>
      <c r="C21" s="342">
        <f>SUM(C4:C20)</f>
        <v>0</v>
      </c>
      <c r="D21" s="343">
        <f>SUM(D4:D20)</f>
        <v>0</v>
      </c>
      <c r="E21" s="344">
        <f>SUM(E4:E20)</f>
        <v>0</v>
      </c>
      <c r="F21" s="345">
        <f>SUM(F4:F20)</f>
        <v>0</v>
      </c>
    </row>
    <row r="22" spans="2:6" ht="15" thickBot="1" x14ac:dyDescent="0.35">
      <c r="B22" s="20"/>
      <c r="C22" s="20"/>
      <c r="D22" s="20"/>
      <c r="E22" s="20"/>
      <c r="F22" s="20"/>
    </row>
    <row r="23" spans="2:6" ht="21" x14ac:dyDescent="0.4">
      <c r="B23" s="10" t="s">
        <v>126</v>
      </c>
      <c r="C23" s="363"/>
      <c r="D23" s="20"/>
      <c r="E23" s="366" t="s">
        <v>247</v>
      </c>
      <c r="F23" s="364" t="str">
        <f>IF(C25&gt;C26*0.2,"",IF(C23=0,"",C21/C23))</f>
        <v/>
      </c>
    </row>
    <row r="24" spans="2:6" ht="21.6" thickBot="1" x14ac:dyDescent="0.45">
      <c r="B24" s="11" t="s">
        <v>240</v>
      </c>
      <c r="C24" s="357">
        <f>'⑥ Troupeau laitier '!E17</f>
        <v>0</v>
      </c>
      <c r="D24" s="20"/>
      <c r="E24" s="367" t="s">
        <v>353</v>
      </c>
      <c r="F24" s="365" t="str">
        <f>IF($C$26=0,"",$C$21/$C$26)</f>
        <v/>
      </c>
    </row>
    <row r="25" spans="2:6" ht="21.6" thickBot="1" x14ac:dyDescent="0.45">
      <c r="B25" s="11" t="s">
        <v>241</v>
      </c>
      <c r="C25" s="357">
        <f>SUM('⑦ Troupeau viandeux'!E22,'⑦ Troupeau viandeux'!E43)</f>
        <v>0</v>
      </c>
      <c r="D25" s="20"/>
      <c r="E25" s="367" t="s">
        <v>248</v>
      </c>
      <c r="F25" s="365" t="str">
        <f>IF('⑧ Taux de chargement'!E11=0,"",$C$21/'⑧ Taux de chargement'!E11)</f>
        <v/>
      </c>
    </row>
    <row r="26" spans="2:6" ht="18.600000000000001" thickBot="1" x14ac:dyDescent="0.4">
      <c r="B26" s="9" t="s">
        <v>242</v>
      </c>
      <c r="C26" s="358">
        <f>SUM(C24,C25)</f>
        <v>0</v>
      </c>
      <c r="D26" s="20"/>
      <c r="E26" s="20"/>
      <c r="F26" s="20"/>
    </row>
    <row r="31" spans="2:6" x14ac:dyDescent="0.3">
      <c r="B31" s="20"/>
    </row>
  </sheetData>
  <sheetProtection sheet="1" formatColumns="0" selectLockedCells="1"/>
  <mergeCells count="1">
    <mergeCell ref="B2:F2"/>
  </mergeCells>
  <pageMargins left="0.7" right="0.7" top="0.75" bottom="0.75" header="0.3" footer="0.3"/>
  <pageSetup paperSize="9" orientation="portrait"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theme="7"/>
  </sheetPr>
  <dimension ref="B1:K50"/>
  <sheetViews>
    <sheetView showGridLines="0" topLeftCell="A17" zoomScale="70" zoomScaleNormal="70" workbookViewId="0">
      <selection activeCell="D34" sqref="D34"/>
    </sheetView>
  </sheetViews>
  <sheetFormatPr baseColWidth="10" defaultRowHeight="14.4" x14ac:dyDescent="0.3"/>
  <cols>
    <col min="1" max="1" width="1.6640625" customWidth="1"/>
    <col min="2" max="2" width="42.5546875" customWidth="1"/>
    <col min="3" max="3" width="24" customWidth="1"/>
    <col min="4" max="4" width="20.5546875" customWidth="1"/>
    <col min="5" max="5" width="23.77734375" customWidth="1"/>
    <col min="6" max="6" width="44" customWidth="1"/>
    <col min="7" max="7" width="42" customWidth="1"/>
    <col min="8" max="8" width="41.44140625" bestFit="1" customWidth="1"/>
    <col min="9" max="9" width="37.77734375" bestFit="1" customWidth="1"/>
    <col min="10" max="11" width="31.21875" bestFit="1" customWidth="1"/>
  </cols>
  <sheetData>
    <row r="1" spans="2:11" s="20" customFormat="1" ht="8.4" customHeight="1" thickBot="1" x14ac:dyDescent="0.35"/>
    <row r="2" spans="2:11" s="248" customFormat="1" ht="25.8" x14ac:dyDescent="0.5">
      <c r="B2" s="564" t="s">
        <v>308</v>
      </c>
      <c r="C2" s="565"/>
      <c r="D2" s="565"/>
      <c r="E2" s="565"/>
      <c r="F2" s="565"/>
      <c r="G2" s="565"/>
      <c r="H2" s="565"/>
      <c r="I2" s="565"/>
      <c r="J2" s="565"/>
      <c r="K2" s="566"/>
    </row>
    <row r="3" spans="2:11" s="20" customFormat="1" ht="15" thickBot="1" x14ac:dyDescent="0.35">
      <c r="B3" s="22"/>
      <c r="C3" s="14"/>
      <c r="D3" s="14"/>
      <c r="E3" s="14"/>
      <c r="F3" s="14"/>
      <c r="G3" s="14"/>
      <c r="H3" s="14"/>
      <c r="I3" s="14"/>
      <c r="J3" s="14"/>
      <c r="K3" s="23"/>
    </row>
    <row r="4" spans="2:11" s="5" customFormat="1" ht="26.4" thickBot="1" x14ac:dyDescent="0.55000000000000004">
      <c r="B4" s="270" t="s">
        <v>53</v>
      </c>
      <c r="C4" s="249" t="s">
        <v>55</v>
      </c>
      <c r="D4" s="249" t="s">
        <v>59</v>
      </c>
      <c r="E4" s="250" t="s">
        <v>58</v>
      </c>
      <c r="F4" s="251" t="s">
        <v>354</v>
      </c>
      <c r="G4" s="252" t="s">
        <v>276</v>
      </c>
      <c r="H4" s="251" t="s">
        <v>349</v>
      </c>
      <c r="I4" s="253" t="s">
        <v>277</v>
      </c>
      <c r="J4" s="254" t="s">
        <v>249</v>
      </c>
      <c r="K4" s="255" t="s">
        <v>250</v>
      </c>
    </row>
    <row r="5" spans="2:11" s="5" customFormat="1" ht="18.600000000000001" thickBot="1" x14ac:dyDescent="0.4">
      <c r="B5" s="277"/>
      <c r="C5" s="278"/>
      <c r="D5" s="279"/>
      <c r="E5" s="304">
        <f>Tableau510111215[[#This Row],[Quantités (T)]]*Tableau510111215[[#This Row],[% MS]]</f>
        <v>0</v>
      </c>
      <c r="F5" s="467"/>
      <c r="G5" s="305">
        <f>Tableau510111215[[#This Row],[ T de MS]]*Tableau510111215[[#This Row],[VEM/kg de MS]]*1000</f>
        <v>0</v>
      </c>
      <c r="H5" s="286"/>
      <c r="I5" s="306">
        <f>Tableau510111215[[#This Row],[g de DVE/kg de MS]]*Tableau510111215[[#This Row],[ T de MS]]</f>
        <v>0</v>
      </c>
      <c r="J5" s="289"/>
      <c r="K5" s="316">
        <f>$C5*$J5</f>
        <v>0</v>
      </c>
    </row>
    <row r="6" spans="2:11" s="5" customFormat="1" ht="18.600000000000001" thickBot="1" x14ac:dyDescent="0.4">
      <c r="B6" s="280"/>
      <c r="C6" s="281"/>
      <c r="D6" s="282"/>
      <c r="E6" s="304">
        <f>Tableau510111215[[#This Row],[Quantités (T)]]*Tableau510111215[[#This Row],[% MS]]</f>
        <v>0</v>
      </c>
      <c r="F6" s="468"/>
      <c r="G6" s="305">
        <f>Tableau510111215[[#This Row],[ T de MS]]*Tableau510111215[[#This Row],[VEM/kg de MS]]*1000</f>
        <v>0</v>
      </c>
      <c r="H6" s="287"/>
      <c r="I6" s="307">
        <f>Tableau510111215[[#This Row],[g de DVE/kg de MS]]*Tableau510111215[[#This Row],[ T de MS]]</f>
        <v>0</v>
      </c>
      <c r="J6" s="290"/>
      <c r="K6" s="316">
        <f>$C6*$J6</f>
        <v>0</v>
      </c>
    </row>
    <row r="7" spans="2:11" s="5" customFormat="1" ht="18.600000000000001" thickBot="1" x14ac:dyDescent="0.4">
      <c r="B7" s="280"/>
      <c r="C7" s="281"/>
      <c r="D7" s="282"/>
      <c r="E7" s="304">
        <f>Tableau510111215[[#This Row],[Quantités (T)]]*Tableau510111215[[#This Row],[% MS]]</f>
        <v>0</v>
      </c>
      <c r="F7" s="468"/>
      <c r="G7" s="305">
        <f>Tableau510111215[[#This Row],[ T de MS]]*Tableau510111215[[#This Row],[VEM/kg de MS]]*1000</f>
        <v>0</v>
      </c>
      <c r="H7" s="287"/>
      <c r="I7" s="307">
        <f>Tableau510111215[[#This Row],[g de DVE/kg de MS]]*Tableau510111215[[#This Row],[ T de MS]]</f>
        <v>0</v>
      </c>
      <c r="J7" s="290"/>
      <c r="K7" s="316">
        <f>$C7*$J7</f>
        <v>0</v>
      </c>
    </row>
    <row r="8" spans="2:11" s="5" customFormat="1" ht="18.600000000000001" thickBot="1" x14ac:dyDescent="0.4">
      <c r="B8" s="283"/>
      <c r="C8" s="284"/>
      <c r="D8" s="285"/>
      <c r="E8" s="304">
        <f>Tableau510111215[[#This Row],[Quantités (T)]]*Tableau510111215[[#This Row],[% MS]]</f>
        <v>0</v>
      </c>
      <c r="F8" s="469"/>
      <c r="G8" s="305">
        <f>Tableau510111215[[#This Row],[ T de MS]]*Tableau510111215[[#This Row],[VEM/kg de MS]]*1000</f>
        <v>0</v>
      </c>
      <c r="H8" s="288"/>
      <c r="I8" s="308">
        <f>Tableau510111215[[#This Row],[g de DVE/kg de MS]]*Tableau510111215[[#This Row],[ T de MS]]</f>
        <v>0</v>
      </c>
      <c r="J8" s="291"/>
      <c r="K8" s="316">
        <f>$C8*$J8</f>
        <v>0</v>
      </c>
    </row>
    <row r="9" spans="2:11" s="5" customFormat="1" ht="26.4" thickBot="1" x14ac:dyDescent="0.55000000000000004">
      <c r="B9" s="256" t="s">
        <v>5</v>
      </c>
      <c r="C9" s="257">
        <f>SUM(C5:C8)</f>
        <v>0</v>
      </c>
      <c r="D9" s="257"/>
      <c r="E9" s="258">
        <f>SUM(E5:E8)</f>
        <v>0</v>
      </c>
      <c r="F9" s="470"/>
      <c r="G9" s="260">
        <f t="shared" ref="G9" si="0">SUM(G5:G8)</f>
        <v>0</v>
      </c>
      <c r="H9" s="261"/>
      <c r="I9" s="262">
        <f>SUM(I5:I8)</f>
        <v>0</v>
      </c>
      <c r="J9" s="263"/>
      <c r="K9" s="264">
        <f t="shared" ref="K9" si="1">SUM(K5,K6,K7,K8,)</f>
        <v>0</v>
      </c>
    </row>
    <row r="10" spans="2:11" ht="15" thickBot="1" x14ac:dyDescent="0.35">
      <c r="B10" s="22"/>
      <c r="C10" s="14"/>
      <c r="D10" s="14"/>
      <c r="E10" s="14"/>
      <c r="F10" s="14"/>
      <c r="G10" s="317"/>
      <c r="H10" s="14"/>
      <c r="I10" s="317"/>
      <c r="J10" s="14"/>
      <c r="K10" s="23"/>
    </row>
    <row r="11" spans="2:11" ht="26.4" thickBot="1" x14ac:dyDescent="0.55000000000000004">
      <c r="B11" s="251" t="s">
        <v>54</v>
      </c>
      <c r="C11" s="251" t="s">
        <v>55</v>
      </c>
      <c r="D11" s="265" t="s">
        <v>59</v>
      </c>
      <c r="E11" s="266" t="s">
        <v>58</v>
      </c>
      <c r="F11" s="249" t="s">
        <v>354</v>
      </c>
      <c r="G11" s="267" t="s">
        <v>276</v>
      </c>
      <c r="H11" s="251" t="s">
        <v>349</v>
      </c>
      <c r="I11" s="253" t="s">
        <v>277</v>
      </c>
      <c r="J11" s="254" t="s">
        <v>249</v>
      </c>
      <c r="K11" s="255" t="s">
        <v>250</v>
      </c>
    </row>
    <row r="12" spans="2:11" ht="18.600000000000001" thickBot="1" x14ac:dyDescent="0.4">
      <c r="B12" s="309" t="s">
        <v>3</v>
      </c>
      <c r="C12" s="278"/>
      <c r="D12" s="279"/>
      <c r="E12" s="312">
        <f>Tableau51011[[#This Row],[Quantités (T)]]*Tableau51011[[#This Row],[% MS]]</f>
        <v>0</v>
      </c>
      <c r="F12" s="467"/>
      <c r="G12" s="305">
        <f>Tableau51011[[#This Row],[VEM/kg de MS]]*Tableau51011[[#This Row],[ T de MS]]*1000</f>
        <v>0</v>
      </c>
      <c r="H12" s="286"/>
      <c r="I12" s="306">
        <f>Tableau51011[[#This Row],[g de DVE/kg de MS]]*Tableau51011[[#This Row],[ T de MS]]</f>
        <v>0</v>
      </c>
      <c r="J12" s="289"/>
      <c r="K12" s="316">
        <f>$C12*$J12</f>
        <v>0</v>
      </c>
    </row>
    <row r="13" spans="2:11" ht="18.600000000000001" thickBot="1" x14ac:dyDescent="0.4">
      <c r="B13" s="310" t="s">
        <v>133</v>
      </c>
      <c r="C13" s="281"/>
      <c r="D13" s="292"/>
      <c r="E13" s="312">
        <f>Tableau51011[[#This Row],[Quantités (T)]]*Tableau51011[[#This Row],[% MS]]</f>
        <v>0</v>
      </c>
      <c r="F13" s="468"/>
      <c r="G13" s="305">
        <f>Tableau51011[[#This Row],[VEM/kg de MS]]*Tableau51011[[#This Row],[ T de MS]]*1000</f>
        <v>0</v>
      </c>
      <c r="H13" s="287"/>
      <c r="I13" s="307">
        <f>Tableau51011[[#This Row],[g de DVE/kg de MS]]*Tableau51011[[#This Row],[ T de MS]]</f>
        <v>0</v>
      </c>
      <c r="J13" s="290"/>
      <c r="K13" s="316">
        <f>$C13*$J13</f>
        <v>0</v>
      </c>
    </row>
    <row r="14" spans="2:11" ht="18.600000000000001" thickBot="1" x14ac:dyDescent="0.4">
      <c r="B14" s="311" t="s">
        <v>134</v>
      </c>
      <c r="C14" s="284"/>
      <c r="D14" s="285"/>
      <c r="E14" s="312">
        <f>Tableau51011[[#This Row],[Quantités (T)]]*Tableau51011[[#This Row],[% MS]]</f>
        <v>0</v>
      </c>
      <c r="F14" s="469"/>
      <c r="G14" s="305">
        <f>Tableau51011[[#This Row],[VEM/kg de MS]]*Tableau51011[[#This Row],[ T de MS]]*1000</f>
        <v>0</v>
      </c>
      <c r="H14" s="288"/>
      <c r="I14" s="308">
        <f>Tableau51011[[#This Row],[g de DVE/kg de MS]]*Tableau51011[[#This Row],[ T de MS]]</f>
        <v>0</v>
      </c>
      <c r="J14" s="291"/>
      <c r="K14" s="316">
        <f>$C14*$J14</f>
        <v>0</v>
      </c>
    </row>
    <row r="15" spans="2:11" ht="26.4" thickBot="1" x14ac:dyDescent="0.55000000000000004">
      <c r="B15" s="256" t="s">
        <v>5</v>
      </c>
      <c r="C15" s="257">
        <f t="shared" ref="C15" si="2">SUM(C12:C14)</f>
        <v>0</v>
      </c>
      <c r="D15" s="257"/>
      <c r="E15" s="258">
        <f>SUM(E12:E14)</f>
        <v>0</v>
      </c>
      <c r="F15" s="470"/>
      <c r="G15" s="260">
        <f>SUM(G12:G14)</f>
        <v>0</v>
      </c>
      <c r="H15" s="268"/>
      <c r="I15" s="262">
        <f>SUM(I12:I14)</f>
        <v>0</v>
      </c>
      <c r="J15" s="269"/>
      <c r="K15" s="264">
        <f t="shared" ref="K15" si="3">SUM(K12,K13,K14)</f>
        <v>0</v>
      </c>
    </row>
    <row r="16" spans="2:11" ht="15" thickBot="1" x14ac:dyDescent="0.35">
      <c r="B16" s="22"/>
      <c r="C16" s="14"/>
      <c r="D16" s="14"/>
      <c r="E16" s="14"/>
      <c r="F16" s="14"/>
      <c r="G16" s="317"/>
      <c r="H16" s="14"/>
      <c r="I16" s="317"/>
      <c r="J16" s="14"/>
      <c r="K16" s="23"/>
    </row>
    <row r="17" spans="2:11" ht="26.4" thickBot="1" x14ac:dyDescent="0.55000000000000004">
      <c r="B17" s="270" t="s">
        <v>4</v>
      </c>
      <c r="C17" s="249" t="s">
        <v>55</v>
      </c>
      <c r="D17" s="249" t="s">
        <v>59</v>
      </c>
      <c r="E17" s="250" t="s">
        <v>58</v>
      </c>
      <c r="F17" s="251" t="s">
        <v>354</v>
      </c>
      <c r="G17" s="252" t="s">
        <v>276</v>
      </c>
      <c r="H17" s="251" t="s">
        <v>349</v>
      </c>
      <c r="I17" s="253" t="s">
        <v>277</v>
      </c>
      <c r="J17" s="254" t="s">
        <v>249</v>
      </c>
      <c r="K17" s="255" t="s">
        <v>250</v>
      </c>
    </row>
    <row r="18" spans="2:11" ht="18.600000000000001" thickBot="1" x14ac:dyDescent="0.4">
      <c r="B18" s="277"/>
      <c r="C18" s="278"/>
      <c r="D18" s="279"/>
      <c r="E18" s="304">
        <f>Tableau5101112[[#This Row],[Quantités (T)]]*Tableau5101112[[#This Row],[% MS]]</f>
        <v>0</v>
      </c>
      <c r="F18" s="467"/>
      <c r="G18" s="305">
        <f>Tableau5101112[[#This Row],[ T de MS]]*Tableau5101112[[#This Row],[VEM/kg de MS]]*1000</f>
        <v>0</v>
      </c>
      <c r="H18" s="286"/>
      <c r="I18" s="306">
        <f>Tableau5101112[[#This Row],[ T de MS]]*Tableau5101112[[#This Row],[g de DVE/kg de MS]]</f>
        <v>0</v>
      </c>
      <c r="J18" s="289"/>
      <c r="K18" s="316">
        <f>$C18*$J18</f>
        <v>0</v>
      </c>
    </row>
    <row r="19" spans="2:11" ht="18.600000000000001" thickBot="1" x14ac:dyDescent="0.4">
      <c r="B19" s="280"/>
      <c r="C19" s="281"/>
      <c r="D19" s="282"/>
      <c r="E19" s="304">
        <f>Tableau5101112[[#This Row],[Quantités (T)]]*Tableau5101112[[#This Row],[% MS]]</f>
        <v>0</v>
      </c>
      <c r="F19" s="468"/>
      <c r="G19" s="305">
        <f>Tableau5101112[[#This Row],[ T de MS]]*Tableau5101112[[#This Row],[VEM/kg de MS]]*1000</f>
        <v>0</v>
      </c>
      <c r="H19" s="287"/>
      <c r="I19" s="307">
        <f>Tableau5101112[[#This Row],[ T de MS]]*Tableau5101112[[#This Row],[g de DVE/kg de MS]]</f>
        <v>0</v>
      </c>
      <c r="J19" s="290"/>
      <c r="K19" s="316">
        <f>$C19*$J19</f>
        <v>0</v>
      </c>
    </row>
    <row r="20" spans="2:11" ht="18.600000000000001" thickBot="1" x14ac:dyDescent="0.4">
      <c r="B20" s="280"/>
      <c r="C20" s="281"/>
      <c r="D20" s="282"/>
      <c r="E20" s="304">
        <f>Tableau5101112[[#This Row],[Quantités (T)]]*Tableau5101112[[#This Row],[% MS]]</f>
        <v>0</v>
      </c>
      <c r="F20" s="468"/>
      <c r="G20" s="305">
        <f>Tableau5101112[[#This Row],[ T de MS]]*Tableau5101112[[#This Row],[VEM/kg de MS]]*1000</f>
        <v>0</v>
      </c>
      <c r="H20" s="287"/>
      <c r="I20" s="307">
        <f>Tableau5101112[[#This Row],[ T de MS]]*Tableau5101112[[#This Row],[g de DVE/kg de MS]]</f>
        <v>0</v>
      </c>
      <c r="J20" s="290"/>
      <c r="K20" s="316">
        <f>$C20*$J20</f>
        <v>0</v>
      </c>
    </row>
    <row r="21" spans="2:11" ht="18.600000000000001" thickBot="1" x14ac:dyDescent="0.4">
      <c r="B21" s="283"/>
      <c r="C21" s="284"/>
      <c r="D21" s="285"/>
      <c r="E21" s="304">
        <f>Tableau5101112[[#This Row],[Quantités (T)]]*Tableau5101112[[#This Row],[% MS]]</f>
        <v>0</v>
      </c>
      <c r="F21" s="469"/>
      <c r="G21" s="305">
        <f>Tableau5101112[[#This Row],[ T de MS]]*Tableau5101112[[#This Row],[VEM/kg de MS]]*1000</f>
        <v>0</v>
      </c>
      <c r="H21" s="288"/>
      <c r="I21" s="308">
        <f>Tableau5101112[[#This Row],[ T de MS]]*Tableau5101112[[#This Row],[g de DVE/kg de MS]]</f>
        <v>0</v>
      </c>
      <c r="J21" s="291"/>
      <c r="K21" s="316">
        <f>$C21*$J21</f>
        <v>0</v>
      </c>
    </row>
    <row r="22" spans="2:11" ht="26.4" thickBot="1" x14ac:dyDescent="0.55000000000000004">
      <c r="B22" s="256" t="s">
        <v>5</v>
      </c>
      <c r="C22" s="257">
        <f>SUM(C18:C21)</f>
        <v>0</v>
      </c>
      <c r="D22" s="257"/>
      <c r="E22" s="258">
        <f>SUM(E18:E21)</f>
        <v>0</v>
      </c>
      <c r="F22" s="470"/>
      <c r="G22" s="260">
        <f t="shared" ref="G22" si="4">SUM(G18:G21)</f>
        <v>0</v>
      </c>
      <c r="H22" s="268"/>
      <c r="I22" s="262">
        <f>SUM(I18:I21)</f>
        <v>0</v>
      </c>
      <c r="J22" s="269"/>
      <c r="K22" s="264">
        <f t="shared" ref="K22" si="5">SUM(K18:K21)</f>
        <v>0</v>
      </c>
    </row>
    <row r="23" spans="2:11" ht="15" thickBot="1" x14ac:dyDescent="0.35">
      <c r="B23" s="22"/>
      <c r="C23" s="14"/>
      <c r="D23" s="14"/>
      <c r="E23" s="14"/>
      <c r="F23" s="14"/>
      <c r="G23" s="317"/>
      <c r="H23" s="14"/>
      <c r="I23" s="317"/>
      <c r="J23" s="14"/>
      <c r="K23" s="23"/>
    </row>
    <row r="24" spans="2:11" ht="26.4" thickBot="1" x14ac:dyDescent="0.55000000000000004">
      <c r="B24" s="270" t="s">
        <v>120</v>
      </c>
      <c r="C24" s="270" t="s">
        <v>55</v>
      </c>
      <c r="D24" s="249" t="s">
        <v>59</v>
      </c>
      <c r="E24" s="251" t="s">
        <v>58</v>
      </c>
      <c r="F24" s="251" t="s">
        <v>354</v>
      </c>
      <c r="G24" s="252" t="s">
        <v>276</v>
      </c>
      <c r="H24" s="251" t="s">
        <v>349</v>
      </c>
      <c r="I24" s="253" t="s">
        <v>277</v>
      </c>
      <c r="J24" s="254" t="s">
        <v>249</v>
      </c>
      <c r="K24" s="255" t="s">
        <v>250</v>
      </c>
    </row>
    <row r="25" spans="2:11" ht="18.600000000000001" thickBot="1" x14ac:dyDescent="0.4">
      <c r="B25" s="318"/>
      <c r="C25" s="293"/>
      <c r="D25" s="279"/>
      <c r="E25" s="313">
        <f>Tableau5101113[[#This Row],[Quantités (T)]]*Tableau5101113[[#This Row],[% MS]]</f>
        <v>0</v>
      </c>
      <c r="F25" s="471"/>
      <c r="G25" s="305">
        <f>Tableau5101113[[#This Row],[VEM/kg de MS]]*Tableau5101113[[#This Row],[ T de MS]]*1000</f>
        <v>0</v>
      </c>
      <c r="H25" s="297"/>
      <c r="I25" s="306">
        <f>Tableau5101113[[#This Row],[g de DVE/kg de MS]]*Tableau5101113[[#This Row],[ T de MS]]</f>
        <v>0</v>
      </c>
      <c r="J25" s="299"/>
      <c r="K25" s="316">
        <f>$C25*$J25</f>
        <v>0</v>
      </c>
    </row>
    <row r="26" spans="2:11" ht="18.600000000000001" thickBot="1" x14ac:dyDescent="0.4">
      <c r="B26" s="319"/>
      <c r="C26" s="294"/>
      <c r="D26" s="295"/>
      <c r="E26" s="304">
        <f>Tableau5101113[[#This Row],[Quantités (T)]]*Tableau5101113[[#This Row],[% MS]]</f>
        <v>0</v>
      </c>
      <c r="F26" s="468"/>
      <c r="G26" s="305">
        <f>Tableau5101113[[#This Row],[VEM/kg de MS]]*Tableau5101113[[#This Row],[ T de MS]]*1000</f>
        <v>0</v>
      </c>
      <c r="H26" s="287"/>
      <c r="I26" s="307">
        <f>Tableau5101113[[#This Row],[g de DVE/kg de MS]]*Tableau5101113[[#This Row],[ T de MS]]</f>
        <v>0</v>
      </c>
      <c r="J26" s="290"/>
      <c r="K26" s="316">
        <f>$C26*$J26</f>
        <v>0</v>
      </c>
    </row>
    <row r="27" spans="2:11" ht="18.600000000000001" thickBot="1" x14ac:dyDescent="0.4">
      <c r="B27" s="319"/>
      <c r="C27" s="294"/>
      <c r="D27" s="295"/>
      <c r="E27" s="304">
        <f>Tableau5101113[[#This Row],[Quantités (T)]]*Tableau5101113[[#This Row],[% MS]]</f>
        <v>0</v>
      </c>
      <c r="F27" s="468"/>
      <c r="G27" s="305">
        <f>Tableau5101113[[#This Row],[VEM/kg de MS]]*Tableau5101113[[#This Row],[ T de MS]]*1000</f>
        <v>0</v>
      </c>
      <c r="H27" s="287"/>
      <c r="I27" s="307">
        <f>Tableau5101113[[#This Row],[g de DVE/kg de MS]]*Tableau5101113[[#This Row],[ T de MS]]</f>
        <v>0</v>
      </c>
      <c r="J27" s="290"/>
      <c r="K27" s="316">
        <f>$C27*$J27</f>
        <v>0</v>
      </c>
    </row>
    <row r="28" spans="2:11" ht="18.600000000000001" thickBot="1" x14ac:dyDescent="0.4">
      <c r="B28" s="320"/>
      <c r="C28" s="294"/>
      <c r="D28" s="282"/>
      <c r="E28" s="304">
        <f>Tableau5101113[[#This Row],[Quantités (T)]]*Tableau5101113[[#This Row],[% MS]]</f>
        <v>0</v>
      </c>
      <c r="F28" s="468"/>
      <c r="G28" s="305">
        <f>Tableau5101113[[#This Row],[VEM/kg de MS]]*Tableau5101113[[#This Row],[ T de MS]]*1000</f>
        <v>0</v>
      </c>
      <c r="H28" s="287"/>
      <c r="I28" s="307">
        <f>Tableau5101113[[#This Row],[g de DVE/kg de MS]]*Tableau5101113[[#This Row],[ T de MS]]</f>
        <v>0</v>
      </c>
      <c r="J28" s="290"/>
      <c r="K28" s="316">
        <f>$C28*$J28</f>
        <v>0</v>
      </c>
    </row>
    <row r="29" spans="2:11" ht="18.600000000000001" thickBot="1" x14ac:dyDescent="0.4">
      <c r="B29" s="321"/>
      <c r="C29" s="296"/>
      <c r="D29" s="285"/>
      <c r="E29" s="314">
        <f>Tableau5101113[[#This Row],[Quantités (T)]]*Tableau5101113[[#This Row],[% MS]]</f>
        <v>0</v>
      </c>
      <c r="F29" s="472"/>
      <c r="G29" s="305">
        <f>Tableau5101113[[#This Row],[VEM/kg de MS]]*Tableau5101113[[#This Row],[ T de MS]]*1000</f>
        <v>0</v>
      </c>
      <c r="H29" s="298"/>
      <c r="I29" s="315">
        <f>Tableau5101113[[#This Row],[g de DVE/kg de MS]]*Tableau5101113[[#This Row],[ T de MS]]</f>
        <v>0</v>
      </c>
      <c r="J29" s="300"/>
      <c r="K29" s="316">
        <f>$C29*$J29</f>
        <v>0</v>
      </c>
    </row>
    <row r="30" spans="2:11" ht="26.4" thickBot="1" x14ac:dyDescent="0.55000000000000004">
      <c r="B30" s="256" t="s">
        <v>5</v>
      </c>
      <c r="C30" s="257">
        <f t="shared" ref="C30" si="6">SUM(C25:C29)</f>
        <v>0</v>
      </c>
      <c r="D30" s="257"/>
      <c r="E30" s="258">
        <f>SUM(E25:E29)</f>
        <v>0</v>
      </c>
      <c r="F30" s="470"/>
      <c r="G30" s="260">
        <f t="shared" ref="G30:I30" si="7">SUM(G25:G29)</f>
        <v>0</v>
      </c>
      <c r="H30" s="259"/>
      <c r="I30" s="262">
        <f t="shared" si="7"/>
        <v>0</v>
      </c>
      <c r="J30" s="269"/>
      <c r="K30" s="264">
        <f t="shared" ref="K30" si="8">SUM(K25:K29)</f>
        <v>0</v>
      </c>
    </row>
    <row r="31" spans="2:11" ht="15" thickBot="1" x14ac:dyDescent="0.35">
      <c r="B31" s="22"/>
      <c r="C31" s="14"/>
      <c r="D31" s="14"/>
      <c r="E31" s="14"/>
      <c r="F31" s="14"/>
      <c r="G31" s="317"/>
      <c r="H31" s="14"/>
      <c r="I31" s="317"/>
      <c r="J31" s="14"/>
      <c r="K31" s="23"/>
    </row>
    <row r="32" spans="2:11" ht="26.4" thickBot="1" x14ac:dyDescent="0.35">
      <c r="B32" s="375" t="s">
        <v>135</v>
      </c>
      <c r="C32" s="271" t="s">
        <v>55</v>
      </c>
      <c r="D32" s="271" t="s">
        <v>59</v>
      </c>
      <c r="E32" s="272" t="s">
        <v>58</v>
      </c>
      <c r="F32" s="272" t="s">
        <v>354</v>
      </c>
      <c r="G32" s="273" t="s">
        <v>276</v>
      </c>
      <c r="H32" s="272" t="s">
        <v>349</v>
      </c>
      <c r="I32" s="274" t="s">
        <v>277</v>
      </c>
      <c r="J32" s="275" t="s">
        <v>249</v>
      </c>
      <c r="K32" s="276" t="s">
        <v>250</v>
      </c>
    </row>
    <row r="33" spans="2:11" ht="18.600000000000001" thickBot="1" x14ac:dyDescent="0.4">
      <c r="B33" s="301"/>
      <c r="C33" s="278"/>
      <c r="D33" s="279"/>
      <c r="E33" s="313">
        <f>Tableau510111314[[#This Row],[Quantités (T)]]*Tableau510111314[[#This Row],[% MS]]</f>
        <v>0</v>
      </c>
      <c r="F33" s="467"/>
      <c r="G33" s="305">
        <f>Tableau510111314[[#This Row],[VEM/kg de MS]]*Tableau510111314[[#This Row],[ T de MS]]*1000</f>
        <v>0</v>
      </c>
      <c r="H33" s="286"/>
      <c r="I33" s="306">
        <f>Tableau510111314[[#This Row],[g de DVE/kg de MS]]*Tableau510111314[[#This Row],[ T de MS]]</f>
        <v>0</v>
      </c>
      <c r="J33" s="289"/>
      <c r="K33" s="316">
        <f>$C33*$J33</f>
        <v>0</v>
      </c>
    </row>
    <row r="34" spans="2:11" ht="18.600000000000001" thickBot="1" x14ac:dyDescent="0.4">
      <c r="B34" s="302"/>
      <c r="C34" s="281"/>
      <c r="D34" s="282"/>
      <c r="E34" s="304">
        <f>Tableau510111314[[#This Row],[Quantités (T)]]*Tableau510111314[[#This Row],[% MS]]</f>
        <v>0</v>
      </c>
      <c r="F34" s="468"/>
      <c r="G34" s="305">
        <f>Tableau510111314[[#This Row],[VEM/kg de MS]]*Tableau510111314[[#This Row],[ T de MS]]*1000</f>
        <v>0</v>
      </c>
      <c r="H34" s="287"/>
      <c r="I34" s="307">
        <f>Tableau510111314[[#This Row],[g de DVE/kg de MS]]*Tableau510111314[[#This Row],[ T de MS]]</f>
        <v>0</v>
      </c>
      <c r="J34" s="290"/>
      <c r="K34" s="316">
        <f>$C34*$J34</f>
        <v>0</v>
      </c>
    </row>
    <row r="35" spans="2:11" ht="18.600000000000001" thickBot="1" x14ac:dyDescent="0.4">
      <c r="B35" s="303"/>
      <c r="C35" s="284"/>
      <c r="D35" s="285"/>
      <c r="E35" s="314">
        <f>Tableau510111314[[#This Row],[Quantités (T)]]*Tableau510111314[[#This Row],[% MS]]</f>
        <v>0</v>
      </c>
      <c r="F35" s="469"/>
      <c r="G35" s="305">
        <f>Tableau510111314[[#This Row],[VEM/kg de MS]]*Tableau510111314[[#This Row],[ T de MS]]*1000</f>
        <v>0</v>
      </c>
      <c r="H35" s="288"/>
      <c r="I35" s="308">
        <f>Tableau510111314[[#This Row],[g de DVE/kg de MS]]*Tableau510111314[[#This Row],[ T de MS]]</f>
        <v>0</v>
      </c>
      <c r="J35" s="291"/>
      <c r="K35" s="316">
        <f>$C35*$J35</f>
        <v>0</v>
      </c>
    </row>
    <row r="36" spans="2:11" ht="26.4" thickBot="1" x14ac:dyDescent="0.55000000000000004">
      <c r="B36" s="256" t="s">
        <v>5</v>
      </c>
      <c r="C36" s="257">
        <f t="shared" ref="C36" si="9">SUM(C33:C35)</f>
        <v>0</v>
      </c>
      <c r="D36" s="257"/>
      <c r="E36" s="258">
        <f>SUM(E33:E35)</f>
        <v>0</v>
      </c>
      <c r="F36" s="470"/>
      <c r="G36" s="260">
        <f t="shared" ref="G36" si="10">SUM(G33:G35)</f>
        <v>0</v>
      </c>
      <c r="H36" s="268"/>
      <c r="I36" s="262">
        <f t="shared" ref="I36" si="11">SUM(I33:I35)</f>
        <v>0</v>
      </c>
      <c r="J36" s="269"/>
      <c r="K36" s="264">
        <f t="shared" ref="K36" si="12">SUM(K33:K35)</f>
        <v>0</v>
      </c>
    </row>
    <row r="37" spans="2:11" ht="15" thickBot="1" x14ac:dyDescent="0.35"/>
    <row r="38" spans="2:11" ht="26.4" thickBot="1" x14ac:dyDescent="0.35">
      <c r="B38" s="534" t="s">
        <v>309</v>
      </c>
      <c r="C38" s="567"/>
      <c r="D38" s="567"/>
      <c r="E38" s="567"/>
      <c r="F38" s="567"/>
      <c r="G38" s="568"/>
    </row>
    <row r="39" spans="2:11" ht="21.6" thickBot="1" x14ac:dyDescent="0.45">
      <c r="B39" s="341" t="s">
        <v>52</v>
      </c>
      <c r="C39" s="188" t="s">
        <v>55</v>
      </c>
      <c r="D39" s="159" t="s">
        <v>58</v>
      </c>
      <c r="E39" s="159" t="s">
        <v>276</v>
      </c>
      <c r="F39" s="159" t="s">
        <v>277</v>
      </c>
      <c r="G39" s="189" t="s">
        <v>250</v>
      </c>
    </row>
    <row r="40" spans="2:11" ht="18" x14ac:dyDescent="0.35">
      <c r="B40" s="220" t="s">
        <v>53</v>
      </c>
      <c r="C40" s="322">
        <f>'⑩ Achats'!C9</f>
        <v>0</v>
      </c>
      <c r="D40" s="313">
        <f>'⑩ Achats'!E9</f>
        <v>0</v>
      </c>
      <c r="E40" s="323">
        <f>'⑩ Achats'!G9</f>
        <v>0</v>
      </c>
      <c r="F40" s="324">
        <f>'⑩ Achats'!I9</f>
        <v>0</v>
      </c>
      <c r="G40" s="325">
        <f>'⑩ Achats'!K9</f>
        <v>0</v>
      </c>
    </row>
    <row r="41" spans="2:11" ht="18" x14ac:dyDescent="0.35">
      <c r="B41" s="216" t="s">
        <v>54</v>
      </c>
      <c r="C41" s="326">
        <f>'⑩ Achats'!C15</f>
        <v>0</v>
      </c>
      <c r="D41" s="304">
        <f>'⑩ Achats'!E15</f>
        <v>0</v>
      </c>
      <c r="E41" s="327">
        <f>'⑩ Achats'!G15</f>
        <v>0</v>
      </c>
      <c r="F41" s="328">
        <f>'⑩ Achats'!I15</f>
        <v>0</v>
      </c>
      <c r="G41" s="329">
        <f>'⑩ Achats'!K15</f>
        <v>0</v>
      </c>
    </row>
    <row r="42" spans="2:11" ht="18" x14ac:dyDescent="0.35">
      <c r="B42" s="216" t="s">
        <v>4</v>
      </c>
      <c r="C42" s="326">
        <f>'⑩ Achats'!C22</f>
        <v>0</v>
      </c>
      <c r="D42" s="304">
        <f>'⑩ Achats'!E22</f>
        <v>0</v>
      </c>
      <c r="E42" s="327">
        <f>'⑩ Achats'!G22</f>
        <v>0</v>
      </c>
      <c r="F42" s="328">
        <f>'⑩ Achats'!I22</f>
        <v>0</v>
      </c>
      <c r="G42" s="329">
        <f>'⑩ Achats'!K22</f>
        <v>0</v>
      </c>
    </row>
    <row r="43" spans="2:11" ht="18" x14ac:dyDescent="0.35">
      <c r="B43" s="216" t="s">
        <v>120</v>
      </c>
      <c r="C43" s="326">
        <f>'⑩ Achats'!C30</f>
        <v>0</v>
      </c>
      <c r="D43" s="304">
        <f>'⑩ Achats'!E30</f>
        <v>0</v>
      </c>
      <c r="E43" s="327">
        <f>'⑩ Achats'!G30</f>
        <v>0</v>
      </c>
      <c r="F43" s="328">
        <f>'⑩ Achats'!I30</f>
        <v>0</v>
      </c>
      <c r="G43" s="329">
        <f>'⑩ Achats'!K30</f>
        <v>0</v>
      </c>
    </row>
    <row r="44" spans="2:11" ht="18.600000000000001" thickBot="1" x14ac:dyDescent="0.4">
      <c r="B44" s="374" t="s">
        <v>135</v>
      </c>
      <c r="C44" s="330">
        <f>'⑩ Achats'!C36</f>
        <v>0</v>
      </c>
      <c r="D44" s="331">
        <f>'⑩ Achats'!E36</f>
        <v>0</v>
      </c>
      <c r="E44" s="332">
        <f>'⑩ Achats'!G36</f>
        <v>0</v>
      </c>
      <c r="F44" s="333">
        <f>'⑩ Achats'!I36</f>
        <v>0</v>
      </c>
      <c r="G44" s="334">
        <f>'⑩ Achats'!K36</f>
        <v>0</v>
      </c>
    </row>
    <row r="45" spans="2:11" ht="21" x14ac:dyDescent="0.4">
      <c r="B45" s="335" t="s">
        <v>5</v>
      </c>
      <c r="C45" s="336">
        <f>SUM(C40:C44)</f>
        <v>0</v>
      </c>
      <c r="D45" s="337">
        <f>SUM(D40:D44)</f>
        <v>0</v>
      </c>
      <c r="E45" s="338">
        <f>SUM(E40:E44)</f>
        <v>0</v>
      </c>
      <c r="F45" s="339">
        <f>SUM(F40:F44)</f>
        <v>0</v>
      </c>
      <c r="G45" s="340">
        <f>SUM(G40:G44)</f>
        <v>0</v>
      </c>
    </row>
    <row r="46" spans="2:11" ht="15" thickBot="1" x14ac:dyDescent="0.35"/>
    <row r="47" spans="2:11" ht="21" x14ac:dyDescent="0.4">
      <c r="F47" s="380" t="s">
        <v>56</v>
      </c>
      <c r="G47" s="376">
        <f>'⑩ Achats'!G45</f>
        <v>0</v>
      </c>
    </row>
    <row r="48" spans="2:11" ht="21" x14ac:dyDescent="0.4">
      <c r="F48" s="381" t="s">
        <v>110</v>
      </c>
      <c r="G48" s="377">
        <f>'⑩ Achats'!D45</f>
        <v>0</v>
      </c>
    </row>
    <row r="49" spans="6:7" ht="21" x14ac:dyDescent="0.4">
      <c r="F49" s="382" t="s">
        <v>278</v>
      </c>
      <c r="G49" s="378">
        <f>'⑩ Achats'!E45</f>
        <v>0</v>
      </c>
    </row>
    <row r="50" spans="6:7" ht="21.6" thickBot="1" x14ac:dyDescent="0.45">
      <c r="F50" s="383" t="s">
        <v>279</v>
      </c>
      <c r="G50" s="379">
        <f>'⑩ Achats'!F45</f>
        <v>0</v>
      </c>
    </row>
  </sheetData>
  <sheetProtection sheet="1" formatColumns="0" selectLockedCells="1"/>
  <mergeCells count="2">
    <mergeCell ref="B2:K2"/>
    <mergeCell ref="B38:G38"/>
  </mergeCells>
  <pageMargins left="0.7" right="0.7" top="0.75" bottom="0.75" header="0.3" footer="0.3"/>
  <pageSetup paperSize="9" orientation="portrait" r:id="rId1"/>
  <legacyDrawing r:id="rId2"/>
  <tableParts count="6">
    <tablePart r:id="rId3"/>
    <tablePart r:id="rId4"/>
    <tablePart r:id="rId5"/>
    <tablePart r:id="rId6"/>
    <tablePart r:id="rId7"/>
    <tablePart r:id="rId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B08600"/>
  </sheetPr>
  <dimension ref="A1:N20"/>
  <sheetViews>
    <sheetView showGridLines="0" zoomScale="90" zoomScaleNormal="90" workbookViewId="0">
      <selection activeCell="C10" sqref="C10"/>
    </sheetView>
  </sheetViews>
  <sheetFormatPr baseColWidth="10" defaultRowHeight="14.4" x14ac:dyDescent="0.3"/>
  <cols>
    <col min="1" max="1" width="5.33203125" customWidth="1"/>
    <col min="2" max="2" width="51.77734375" customWidth="1"/>
    <col min="3" max="3" width="17.21875" customWidth="1"/>
    <col min="4" max="4" width="16.77734375" customWidth="1"/>
    <col min="5" max="5" width="15.44140625" customWidth="1"/>
  </cols>
  <sheetData>
    <row r="1" spans="1:14" s="20" customFormat="1" ht="52.2" customHeight="1" thickBot="1" x14ac:dyDescent="0.35">
      <c r="A1" s="495"/>
      <c r="B1" s="495"/>
      <c r="C1" s="495"/>
      <c r="D1" s="495"/>
      <c r="E1" s="495"/>
      <c r="F1" s="495"/>
      <c r="G1" s="495"/>
      <c r="H1" s="495"/>
      <c r="I1" s="495"/>
      <c r="J1" s="495"/>
      <c r="K1" s="495"/>
      <c r="L1" s="495"/>
      <c r="M1" s="495"/>
    </row>
    <row r="2" spans="1:14" s="20" customFormat="1" ht="26.4" thickBot="1" x14ac:dyDescent="0.55000000000000004">
      <c r="A2" s="495"/>
      <c r="B2" s="572" t="s">
        <v>311</v>
      </c>
      <c r="C2" s="573"/>
      <c r="D2" s="495"/>
      <c r="E2" s="495"/>
      <c r="F2" s="495"/>
      <c r="G2" s="317"/>
      <c r="H2" s="317"/>
      <c r="I2" s="317"/>
      <c r="J2" s="317"/>
      <c r="K2" s="317"/>
      <c r="L2" s="317"/>
      <c r="M2" s="317"/>
    </row>
    <row r="3" spans="1:14" s="20" customFormat="1" ht="18" x14ac:dyDescent="0.35">
      <c r="A3" s="495"/>
      <c r="B3" s="496" t="s">
        <v>111</v>
      </c>
      <c r="C3" s="447">
        <f>'⑨ Coûts de production'!$C$21</f>
        <v>0</v>
      </c>
      <c r="D3" s="495"/>
      <c r="E3" s="495"/>
      <c r="F3" s="495"/>
      <c r="G3" s="317"/>
      <c r="H3" s="317"/>
      <c r="I3" s="317"/>
      <c r="J3" s="317"/>
      <c r="K3" s="317"/>
      <c r="L3" s="317"/>
      <c r="M3" s="317"/>
    </row>
    <row r="4" spans="1:14" s="20" customFormat="1" ht="18.600000000000001" thickBot="1" x14ac:dyDescent="0.4">
      <c r="A4" s="495"/>
      <c r="B4" s="497" t="s">
        <v>262</v>
      </c>
      <c r="C4" s="498">
        <f>'⑩ Achats'!$G$47</f>
        <v>0</v>
      </c>
      <c r="D4" s="495"/>
      <c r="E4" s="495"/>
      <c r="F4" s="495"/>
      <c r="G4" s="317"/>
      <c r="H4" s="317"/>
      <c r="I4" s="317"/>
      <c r="J4" s="317"/>
      <c r="K4" s="317"/>
      <c r="L4" s="317"/>
      <c r="M4" s="317"/>
    </row>
    <row r="5" spans="1:14" s="20" customFormat="1" ht="21.6" thickBot="1" x14ac:dyDescent="0.45">
      <c r="A5" s="495"/>
      <c r="B5" s="499" t="s">
        <v>112</v>
      </c>
      <c r="C5" s="500">
        <f>SUM(C3:C4)</f>
        <v>0</v>
      </c>
      <c r="D5" s="495"/>
      <c r="E5" s="495"/>
      <c r="F5" s="495"/>
      <c r="G5" s="317"/>
      <c r="H5" s="317"/>
      <c r="I5" s="317"/>
      <c r="J5" s="317"/>
      <c r="K5" s="317"/>
      <c r="L5" s="317"/>
      <c r="M5" s="317"/>
    </row>
    <row r="6" spans="1:14" s="20" customFormat="1" ht="15.6" customHeight="1" thickBot="1" x14ac:dyDescent="0.35">
      <c r="A6" s="495"/>
      <c r="B6" s="495"/>
      <c r="C6" s="495"/>
      <c r="D6" s="495"/>
      <c r="E6" s="495"/>
      <c r="F6" s="495"/>
      <c r="G6" s="317"/>
      <c r="H6" s="317"/>
      <c r="I6" s="317"/>
      <c r="J6" s="317"/>
      <c r="K6" s="317"/>
      <c r="L6" s="317"/>
      <c r="M6" s="317"/>
      <c r="N6"/>
    </row>
    <row r="7" spans="1:14" ht="26.4" thickBot="1" x14ac:dyDescent="0.55000000000000004">
      <c r="A7" s="495"/>
      <c r="B7" s="569" t="s">
        <v>310</v>
      </c>
      <c r="C7" s="570"/>
      <c r="D7" s="570"/>
      <c r="E7" s="571"/>
      <c r="F7" s="495"/>
      <c r="G7" s="317"/>
      <c r="H7" s="317"/>
      <c r="I7" s="317"/>
      <c r="J7" s="317"/>
      <c r="K7" s="317"/>
      <c r="L7" s="317"/>
      <c r="M7" s="317"/>
    </row>
    <row r="8" spans="1:14" ht="21" x14ac:dyDescent="0.4">
      <c r="A8" s="495"/>
      <c r="B8" s="501"/>
      <c r="C8" s="502" t="s">
        <v>5</v>
      </c>
      <c r="D8" s="502" t="s">
        <v>102</v>
      </c>
      <c r="E8" s="503" t="s">
        <v>103</v>
      </c>
      <c r="F8" s="495"/>
      <c r="G8" s="317"/>
      <c r="H8" s="317"/>
      <c r="I8" s="317"/>
      <c r="J8" s="317"/>
      <c r="K8" s="317"/>
      <c r="L8" s="317"/>
      <c r="M8" s="317"/>
    </row>
    <row r="9" spans="1:14" ht="18" x14ac:dyDescent="0.35">
      <c r="A9" s="495"/>
      <c r="B9" s="504" t="s">
        <v>99</v>
      </c>
      <c r="C9" s="156"/>
      <c r="D9" s="505" t="str">
        <f>IF('⑧ Taux de chargement'!E11=0,"",$C$9/'⑧ Taux de chargement'!E11)</f>
        <v/>
      </c>
      <c r="E9" s="506" t="str">
        <f>IF('⑨ Coûts de production'!C25&gt;'⑨ Coûts de production'!C26*0.2,"",IF('⑨ Coûts de production'!C23=0,"",$C9/'⑨ Coûts de production'!$C$23))</f>
        <v/>
      </c>
      <c r="F9" s="495"/>
      <c r="G9" s="317"/>
      <c r="H9" s="317"/>
      <c r="I9" s="317"/>
      <c r="J9" s="317"/>
      <c r="K9" s="317"/>
      <c r="L9" s="317"/>
      <c r="M9" s="317"/>
    </row>
    <row r="10" spans="1:14" s="12" customFormat="1" ht="36" x14ac:dyDescent="0.35">
      <c r="A10" s="507"/>
      <c r="B10" s="508" t="s">
        <v>346</v>
      </c>
      <c r="C10" s="439"/>
      <c r="D10" s="509" t="str">
        <f>IF('⑧ Taux de chargement'!E11=0,"",$C10/'⑧ Taux de chargement'!E11)</f>
        <v/>
      </c>
      <c r="E10" s="506" t="str">
        <f>IF('⑨ Coûts de production'!C25&gt;'⑨ Coûts de production'!C26*0.2,"",IF('⑨ Coûts de production'!C23=0,"",$C10/'⑨ Coûts de production'!$C$23))</f>
        <v/>
      </c>
      <c r="F10" s="507"/>
      <c r="G10" s="510"/>
      <c r="H10" s="510"/>
      <c r="I10" s="510"/>
      <c r="J10" s="510"/>
      <c r="K10" s="510"/>
      <c r="L10" s="510"/>
      <c r="M10" s="510"/>
    </row>
    <row r="11" spans="1:14" ht="36" x14ac:dyDescent="0.35">
      <c r="A11" s="495"/>
      <c r="B11" s="508" t="s">
        <v>345</v>
      </c>
      <c r="C11" s="505">
        <f>'⑨ Coûts de production'!C21</f>
        <v>0</v>
      </c>
      <c r="D11" s="509" t="str">
        <f>IF('⑧ Taux de chargement'!E11=0,"",$C11/'⑧ Taux de chargement'!E11)</f>
        <v/>
      </c>
      <c r="E11" s="506" t="str">
        <f>IF('⑨ Coûts de production'!C25&gt;'⑨ Coûts de production'!C26*0.2,"",IF('⑨ Coûts de production'!C23=0,"",$C11/'⑨ Coûts de production'!$C$23))</f>
        <v/>
      </c>
      <c r="F11" s="495"/>
      <c r="G11" s="317"/>
      <c r="H11" s="317"/>
      <c r="I11" s="317"/>
      <c r="J11" s="317"/>
      <c r="K11" s="317"/>
      <c r="L11" s="317"/>
      <c r="M11" s="317"/>
    </row>
    <row r="12" spans="1:14" ht="21" x14ac:dyDescent="0.4">
      <c r="A12" s="495"/>
      <c r="B12" s="511" t="s">
        <v>100</v>
      </c>
      <c r="C12" s="512">
        <f>$C$10+$C$11</f>
        <v>0</v>
      </c>
      <c r="D12" s="513" t="str">
        <f>IF('⑧ Taux de chargement'!E11=0,"",$C12/'⑧ Taux de chargement'!E11)</f>
        <v/>
      </c>
      <c r="E12" s="514" t="str">
        <f>IF('⑨ Coûts de production'!C25&gt;'⑨ Coûts de production'!C26*0.2,"",IF('⑨ Coûts de production'!C23=0,"",$C12/'⑨ Coûts de production'!$C$23))</f>
        <v/>
      </c>
      <c r="F12" s="495"/>
      <c r="G12" s="317"/>
      <c r="H12" s="317"/>
      <c r="I12" s="317"/>
      <c r="J12" s="317"/>
      <c r="K12" s="317"/>
      <c r="L12" s="317"/>
      <c r="M12" s="317"/>
    </row>
    <row r="13" spans="1:14" ht="21.6" thickBot="1" x14ac:dyDescent="0.45">
      <c r="A13" s="495"/>
      <c r="B13" s="515" t="s">
        <v>101</v>
      </c>
      <c r="C13" s="516">
        <f>$C$9-$C$12</f>
        <v>0</v>
      </c>
      <c r="D13" s="517" t="str">
        <f>IF('⑧ Taux de chargement'!E11=0,"",$C13/'⑧ Taux de chargement'!E11)</f>
        <v/>
      </c>
      <c r="E13" s="518" t="str">
        <f>IF('⑨ Coûts de production'!C25&gt;'⑨ Coûts de production'!C26*0.2,"",IF('⑨ Coûts de production'!C23=0,"",$C13/'⑨ Coûts de production'!$C$23))</f>
        <v/>
      </c>
      <c r="F13" s="495"/>
      <c r="G13" s="317"/>
      <c r="H13" s="317"/>
      <c r="I13" s="317"/>
      <c r="J13" s="317"/>
      <c r="K13" s="317"/>
      <c r="L13" s="317"/>
      <c r="M13" s="317"/>
    </row>
    <row r="14" spans="1:14" x14ac:dyDescent="0.3">
      <c r="A14" s="495"/>
      <c r="B14" s="495"/>
      <c r="C14" s="495"/>
      <c r="D14" s="495"/>
      <c r="E14" s="495"/>
      <c r="F14" s="495"/>
      <c r="G14" s="495"/>
      <c r="H14" s="495"/>
      <c r="I14" s="495"/>
      <c r="J14" s="495"/>
      <c r="K14" s="495"/>
      <c r="L14" s="495"/>
      <c r="M14" s="495"/>
    </row>
    <row r="15" spans="1:14" ht="18.600000000000001" thickBot="1" x14ac:dyDescent="0.4">
      <c r="A15" s="495"/>
      <c r="B15" s="495"/>
      <c r="C15" s="495"/>
      <c r="D15" s="495"/>
      <c r="E15" s="495"/>
      <c r="F15" s="495"/>
      <c r="G15" s="495"/>
      <c r="H15" s="495"/>
      <c r="I15" s="519"/>
      <c r="J15" s="495"/>
      <c r="K15" s="495"/>
      <c r="L15" s="495"/>
      <c r="M15" s="495"/>
    </row>
    <row r="16" spans="1:14" ht="26.4" thickBot="1" x14ac:dyDescent="0.55000000000000004">
      <c r="A16" s="495"/>
      <c r="B16" s="520" t="s">
        <v>117</v>
      </c>
      <c r="C16" s="521" t="str">
        <f>IF('⑪ Efficience économique'!C9=0,"",(('⑪ Efficience économique'!C9)-('⑪ Efficience économique'!C12))/('⑪ Efficience économique'!C9))</f>
        <v/>
      </c>
      <c r="D16" s="495"/>
      <c r="E16" s="495"/>
      <c r="F16" s="495"/>
      <c r="G16" s="495"/>
      <c r="H16" s="495"/>
      <c r="I16" s="495"/>
      <c r="J16" s="495"/>
      <c r="K16" s="495"/>
      <c r="L16" s="495"/>
      <c r="M16" s="495"/>
    </row>
    <row r="17" spans="1:13" x14ac:dyDescent="0.3">
      <c r="A17" s="495"/>
      <c r="B17" s="495"/>
      <c r="C17" s="495"/>
      <c r="D17" s="495"/>
      <c r="E17" s="495"/>
      <c r="F17" s="495"/>
      <c r="G17" s="495"/>
      <c r="H17" s="495"/>
      <c r="I17" s="495"/>
      <c r="J17" s="495"/>
      <c r="K17" s="495"/>
      <c r="L17" s="495"/>
      <c r="M17" s="495"/>
    </row>
    <row r="18" spans="1:13" x14ac:dyDescent="0.3">
      <c r="A18" s="495"/>
      <c r="B18" s="495"/>
      <c r="C18" s="495"/>
      <c r="D18" s="495"/>
      <c r="E18" s="495"/>
      <c r="F18" s="495"/>
      <c r="G18" s="495"/>
      <c r="H18" s="495"/>
      <c r="I18" s="495"/>
      <c r="J18" s="495"/>
      <c r="K18" s="495"/>
      <c r="L18" s="495"/>
      <c r="M18" s="495"/>
    </row>
    <row r="19" spans="1:13" x14ac:dyDescent="0.3">
      <c r="A19" s="495"/>
      <c r="B19" s="495"/>
      <c r="C19" s="495"/>
      <c r="D19" s="495"/>
      <c r="E19" s="495"/>
      <c r="F19" s="495"/>
      <c r="G19" s="495"/>
      <c r="H19" s="495"/>
      <c r="I19" s="495"/>
      <c r="J19" s="495"/>
      <c r="K19" s="495"/>
      <c r="L19" s="495"/>
      <c r="M19" s="495"/>
    </row>
    <row r="20" spans="1:13" x14ac:dyDescent="0.3">
      <c r="A20" s="495"/>
      <c r="B20" s="495"/>
      <c r="C20" s="495"/>
      <c r="D20" s="495"/>
      <c r="E20" s="495"/>
      <c r="F20" s="495"/>
      <c r="G20" s="495"/>
      <c r="H20" s="495"/>
      <c r="I20" s="495"/>
      <c r="J20" s="495"/>
      <c r="K20" s="495"/>
      <c r="L20" s="495"/>
      <c r="M20" s="495"/>
    </row>
  </sheetData>
  <sheetProtection sheet="1" objects="1" formatColumns="0" selectLockedCells="1"/>
  <mergeCells count="2">
    <mergeCell ref="B7:E7"/>
    <mergeCell ref="B2:C2"/>
  </mergeCell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rgb="FFC00000"/>
  </sheetPr>
  <dimension ref="A1:H17"/>
  <sheetViews>
    <sheetView showGridLines="0" zoomScaleNormal="100" workbookViewId="0">
      <selection sqref="A1:G17"/>
    </sheetView>
  </sheetViews>
  <sheetFormatPr baseColWidth="10" defaultRowHeight="14.4" x14ac:dyDescent="0.3"/>
  <cols>
    <col min="1" max="1" width="30.109375" customWidth="1"/>
    <col min="2" max="2" width="51.109375" customWidth="1"/>
    <col min="3" max="3" width="20.77734375" customWidth="1"/>
    <col min="4" max="4" width="23.77734375" bestFit="1" customWidth="1"/>
    <col min="5" max="5" width="24.21875" bestFit="1" customWidth="1"/>
    <col min="7" max="7" width="38.44140625" customWidth="1"/>
    <col min="8" max="8" width="23" customWidth="1"/>
  </cols>
  <sheetData>
    <row r="1" spans="1:8" s="20" customFormat="1" ht="25.2" customHeight="1" thickBot="1" x14ac:dyDescent="0.35"/>
    <row r="2" spans="1:8" ht="26.4" thickBot="1" x14ac:dyDescent="0.35">
      <c r="A2" s="20"/>
      <c r="B2" s="534" t="s">
        <v>314</v>
      </c>
      <c r="C2" s="567"/>
      <c r="D2" s="567"/>
      <c r="E2" s="568"/>
      <c r="F2" s="20"/>
      <c r="G2" s="20"/>
      <c r="H2" s="20"/>
    </row>
    <row r="3" spans="1:8" ht="21" x14ac:dyDescent="0.3">
      <c r="A3" s="20"/>
      <c r="B3" s="368"/>
      <c r="C3" s="372" t="s">
        <v>107</v>
      </c>
      <c r="D3" s="372" t="s">
        <v>108</v>
      </c>
      <c r="E3" s="373" t="s">
        <v>109</v>
      </c>
      <c r="F3" s="20"/>
      <c r="G3" s="20"/>
    </row>
    <row r="4" spans="1:8" ht="21" x14ac:dyDescent="0.3">
      <c r="A4" s="20"/>
      <c r="B4" s="371" t="s">
        <v>351</v>
      </c>
      <c r="C4" s="106">
        <f>'② Récolte'!H104+'③ Pâturage'!H31+'④ Stock'!E11</f>
        <v>0</v>
      </c>
      <c r="D4" s="369">
        <f>'② Récolte'!J104+'③ Pâturage'!I31+'④ Stock'!G11</f>
        <v>0</v>
      </c>
      <c r="E4" s="370">
        <f>'② Récolte'!L104+'③ Pâturage'!J31+'④ Stock'!I11</f>
        <v>0</v>
      </c>
      <c r="F4" s="20"/>
      <c r="G4" s="20"/>
    </row>
    <row r="5" spans="1:8" ht="21" x14ac:dyDescent="0.3">
      <c r="A5" s="20"/>
      <c r="B5" s="371" t="s">
        <v>105</v>
      </c>
      <c r="C5" s="106">
        <f>('⑥ Troupeau laitier '!J17+'⑦ Troupeau viandeux'!F22+'⑦ Troupeau viandeux'!F43)/1000</f>
        <v>0</v>
      </c>
      <c r="D5" s="369">
        <f>('⑥ Troupeau laitier '!K17+'⑦ Troupeau viandeux'!G22+'⑦ Troupeau viandeux'!G43)</f>
        <v>0</v>
      </c>
      <c r="E5" s="370">
        <f>('⑥ Troupeau laitier '!L17+'⑦ Troupeau viandeux'!H22+'⑦ Troupeau viandeux'!H43)/1000</f>
        <v>0</v>
      </c>
      <c r="F5" s="20"/>
      <c r="G5" s="20"/>
    </row>
    <row r="6" spans="1:8" ht="21" x14ac:dyDescent="0.3">
      <c r="A6" s="20"/>
      <c r="B6" s="371" t="s">
        <v>106</v>
      </c>
      <c r="C6" s="106">
        <f>'⑩ Achats'!G48</f>
        <v>0</v>
      </c>
      <c r="D6" s="369">
        <f>'⑩ Achats'!G49</f>
        <v>0</v>
      </c>
      <c r="E6" s="370">
        <f>'⑩ Achats'!G50</f>
        <v>0</v>
      </c>
      <c r="F6" s="20"/>
      <c r="G6" s="20"/>
    </row>
    <row r="7" spans="1:8" s="5" customFormat="1" ht="42.6" thickBot="1" x14ac:dyDescent="0.35">
      <c r="A7" s="20"/>
      <c r="B7" s="397" t="s">
        <v>316</v>
      </c>
      <c r="C7" s="398" t="str">
        <f>IF($C$5-$C$4&lt;=0,"Aucun",$C$5-$C$4)</f>
        <v>Aucun</v>
      </c>
      <c r="D7" s="399" t="str">
        <f>IF($D$5-$D$4&lt;=0,"Aucun",$D$5-$D$4)</f>
        <v>Aucun</v>
      </c>
      <c r="E7" s="400" t="str">
        <f>IF($E$5-$E$4&lt;=0,"Aucun",$E$5-$E$4)</f>
        <v>Aucun</v>
      </c>
      <c r="F7" s="20"/>
      <c r="G7" s="20"/>
    </row>
    <row r="8" spans="1:8" s="20" customFormat="1" x14ac:dyDescent="0.3"/>
    <row r="9" spans="1:8" s="5" customFormat="1" ht="15.6" customHeight="1" thickBot="1" x14ac:dyDescent="0.45">
      <c r="A9" s="20"/>
      <c r="B9" s="18"/>
      <c r="C9" s="19"/>
      <c r="D9" s="20"/>
      <c r="E9" s="20"/>
      <c r="F9" s="20"/>
      <c r="G9" s="20"/>
    </row>
    <row r="10" spans="1:8" ht="26.4" thickBot="1" x14ac:dyDescent="0.55000000000000004">
      <c r="A10" s="20"/>
      <c r="B10" s="564" t="s">
        <v>315</v>
      </c>
      <c r="C10" s="565"/>
      <c r="D10" s="565"/>
      <c r="E10" s="566"/>
      <c r="F10" s="20"/>
      <c r="G10" s="20"/>
    </row>
    <row r="11" spans="1:8" ht="21.6" thickBot="1" x14ac:dyDescent="0.45">
      <c r="A11" s="20"/>
      <c r="B11" s="13"/>
      <c r="C11" s="395" t="s">
        <v>113</v>
      </c>
      <c r="D11" s="395" t="s">
        <v>251</v>
      </c>
      <c r="E11" s="396" t="s">
        <v>114</v>
      </c>
      <c r="F11" s="20"/>
      <c r="G11" s="20"/>
    </row>
    <row r="12" spans="1:8" ht="21" x14ac:dyDescent="0.4">
      <c r="A12" s="20"/>
      <c r="B12" s="393" t="s">
        <v>115</v>
      </c>
      <c r="C12" s="401" t="str">
        <f>IF($C$5=0,"",$C$4/$C$5)</f>
        <v/>
      </c>
      <c r="D12" s="401" t="str">
        <f>IF($D$5=0,"",$D$4/$D$5)</f>
        <v/>
      </c>
      <c r="E12" s="402" t="str">
        <f>IF($E$5=0,"",$E$4/$E$5)</f>
        <v/>
      </c>
      <c r="F12" s="20"/>
      <c r="G12" s="20"/>
    </row>
    <row r="13" spans="1:8" ht="21.6" thickBot="1" x14ac:dyDescent="0.45">
      <c r="A13" s="20"/>
      <c r="B13" s="394" t="s">
        <v>116</v>
      </c>
      <c r="C13" s="403" t="str">
        <f>IF(SUM($C$4,$C$6)=0,"",$C$4/SUM($C$4,$C$6))</f>
        <v/>
      </c>
      <c r="D13" s="403" t="str">
        <f>IF(SUM($D$4,$D$6)=0,"",$D$4/SUM($D$4,$D$6))</f>
        <v/>
      </c>
      <c r="E13" s="404" t="str">
        <f>IF(SUM($E$4,$E$6)=0,"",$E$4/SUM($E$4,$E$6))</f>
        <v/>
      </c>
      <c r="F13" s="20"/>
      <c r="G13" s="20"/>
    </row>
    <row r="14" spans="1:8" x14ac:dyDescent="0.3">
      <c r="A14" s="20"/>
      <c r="B14" s="20"/>
      <c r="C14" s="20"/>
      <c r="D14" s="20"/>
      <c r="E14" s="20"/>
      <c r="F14" s="20"/>
      <c r="G14" s="20"/>
    </row>
    <row r="15" spans="1:8" x14ac:dyDescent="0.3">
      <c r="A15" s="20"/>
      <c r="B15" s="20"/>
      <c r="C15" s="20"/>
      <c r="D15" s="20"/>
      <c r="E15" s="20"/>
      <c r="F15" s="20"/>
      <c r="G15" s="20"/>
    </row>
    <row r="16" spans="1:8" x14ac:dyDescent="0.3">
      <c r="A16" s="20"/>
      <c r="B16" s="20"/>
      <c r="C16" s="20"/>
      <c r="D16" s="20"/>
      <c r="E16" s="20"/>
      <c r="F16" s="20"/>
      <c r="G16" s="20"/>
    </row>
    <row r="17" spans="1:7" x14ac:dyDescent="0.3">
      <c r="A17" s="20"/>
      <c r="B17" s="20"/>
      <c r="C17" s="20"/>
      <c r="D17" s="20"/>
      <c r="E17" s="20"/>
      <c r="F17" s="20"/>
      <c r="G17" s="20"/>
    </row>
  </sheetData>
  <sheetProtection sheet="1" objects="1" formatColumns="0" selectLockedCells="1"/>
  <mergeCells count="2">
    <mergeCell ref="B10:E10"/>
    <mergeCell ref="B2:E2"/>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theme="0" tint="-0.249977111117893"/>
  </sheetPr>
  <dimension ref="A1:K59"/>
  <sheetViews>
    <sheetView showGridLines="0" zoomScaleNormal="100" workbookViewId="0">
      <selection activeCell="B2" sqref="B2:K59"/>
    </sheetView>
  </sheetViews>
  <sheetFormatPr baseColWidth="10" defaultRowHeight="14.4" x14ac:dyDescent="0.3"/>
  <cols>
    <col min="1" max="1" width="1.33203125" style="20" customWidth="1"/>
    <col min="2" max="2" width="32" customWidth="1"/>
    <col min="6" max="6" width="28.77734375" customWidth="1"/>
    <col min="7" max="7" width="27.109375" customWidth="1"/>
  </cols>
  <sheetData>
    <row r="1" spans="1:11" s="20" customFormat="1" ht="6" customHeight="1" thickBot="1" x14ac:dyDescent="0.35"/>
    <row r="2" spans="1:11" ht="25.8" x14ac:dyDescent="0.5">
      <c r="B2" s="564" t="s">
        <v>317</v>
      </c>
      <c r="C2" s="565"/>
      <c r="D2" s="565"/>
      <c r="E2" s="565"/>
      <c r="F2" s="565"/>
      <c r="G2" s="565"/>
      <c r="H2" s="565"/>
      <c r="I2" s="565"/>
      <c r="J2" s="565"/>
      <c r="K2" s="566"/>
    </row>
    <row r="3" spans="1:11" ht="18" x14ac:dyDescent="0.35">
      <c r="B3" s="421" t="s">
        <v>157</v>
      </c>
      <c r="C3" s="405" t="s">
        <v>323</v>
      </c>
      <c r="D3" s="406" t="s">
        <v>108</v>
      </c>
      <c r="E3" s="406" t="s">
        <v>158</v>
      </c>
      <c r="F3" s="406" t="s">
        <v>159</v>
      </c>
      <c r="G3" s="407" t="s">
        <v>318</v>
      </c>
      <c r="H3" s="406" t="s">
        <v>319</v>
      </c>
      <c r="I3" s="406" t="s">
        <v>320</v>
      </c>
      <c r="J3" s="406" t="s">
        <v>321</v>
      </c>
      <c r="K3" s="422" t="s">
        <v>322</v>
      </c>
    </row>
    <row r="4" spans="1:11" s="5" customFormat="1" ht="15.6" x14ac:dyDescent="0.3">
      <c r="A4" s="20"/>
      <c r="B4" s="423" t="s">
        <v>163</v>
      </c>
      <c r="C4" s="414"/>
      <c r="D4" s="413"/>
      <c r="E4" s="413"/>
      <c r="F4" s="392"/>
      <c r="G4" s="420" t="s">
        <v>198</v>
      </c>
      <c r="H4" s="414"/>
      <c r="I4" s="413"/>
      <c r="J4" s="413"/>
      <c r="K4" s="424"/>
    </row>
    <row r="5" spans="1:11" ht="15.6" x14ac:dyDescent="0.3">
      <c r="B5" s="425" t="s">
        <v>160</v>
      </c>
      <c r="C5" s="408">
        <v>85</v>
      </c>
      <c r="D5" s="409">
        <v>435</v>
      </c>
      <c r="E5" s="409">
        <v>355</v>
      </c>
      <c r="F5" s="409">
        <v>14</v>
      </c>
      <c r="G5" s="415" t="s">
        <v>199</v>
      </c>
      <c r="H5" s="409">
        <v>87</v>
      </c>
      <c r="I5" s="409">
        <v>1220</v>
      </c>
      <c r="J5" s="409">
        <v>1320</v>
      </c>
      <c r="K5" s="426">
        <v>109</v>
      </c>
    </row>
    <row r="6" spans="1:11" ht="15.6" x14ac:dyDescent="0.3">
      <c r="B6" s="425" t="s">
        <v>161</v>
      </c>
      <c r="C6" s="408">
        <v>85</v>
      </c>
      <c r="D6" s="409">
        <v>515</v>
      </c>
      <c r="E6" s="409">
        <v>420</v>
      </c>
      <c r="F6" s="409">
        <v>14</v>
      </c>
      <c r="G6" s="415" t="s">
        <v>200</v>
      </c>
      <c r="H6" s="409">
        <v>87</v>
      </c>
      <c r="I6" s="409">
        <v>1120</v>
      </c>
      <c r="J6" s="409">
        <v>1200</v>
      </c>
      <c r="K6" s="426">
        <v>89</v>
      </c>
    </row>
    <row r="7" spans="1:11" ht="15.6" x14ac:dyDescent="0.3">
      <c r="B7" s="425" t="s">
        <v>162</v>
      </c>
      <c r="C7" s="408">
        <v>85</v>
      </c>
      <c r="D7" s="409">
        <v>525</v>
      </c>
      <c r="E7" s="409">
        <v>450</v>
      </c>
      <c r="F7" s="409">
        <v>15</v>
      </c>
      <c r="G7" s="415" t="s">
        <v>201</v>
      </c>
      <c r="H7" s="409">
        <v>87</v>
      </c>
      <c r="I7" s="409">
        <v>980</v>
      </c>
      <c r="J7" s="409">
        <v>990</v>
      </c>
      <c r="K7" s="426">
        <v>60</v>
      </c>
    </row>
    <row r="8" spans="1:11" ht="15.6" x14ac:dyDescent="0.3">
      <c r="B8" s="425" t="s">
        <v>164</v>
      </c>
      <c r="C8" s="408">
        <v>85</v>
      </c>
      <c r="D8" s="409">
        <v>440</v>
      </c>
      <c r="E8" s="409">
        <v>360</v>
      </c>
      <c r="F8" s="409">
        <v>12</v>
      </c>
      <c r="G8" s="415" t="s">
        <v>288</v>
      </c>
      <c r="H8" s="409">
        <v>87</v>
      </c>
      <c r="I8" s="409">
        <v>960</v>
      </c>
      <c r="J8" s="409">
        <v>1010</v>
      </c>
      <c r="K8" s="426">
        <v>65</v>
      </c>
    </row>
    <row r="9" spans="1:11" ht="15.6" x14ac:dyDescent="0.3">
      <c r="B9" s="425" t="s">
        <v>165</v>
      </c>
      <c r="C9" s="408">
        <v>85</v>
      </c>
      <c r="D9" s="409">
        <v>510</v>
      </c>
      <c r="E9" s="409">
        <v>460</v>
      </c>
      <c r="F9" s="409">
        <v>14</v>
      </c>
      <c r="G9" s="415" t="s">
        <v>202</v>
      </c>
      <c r="H9" s="409">
        <v>87</v>
      </c>
      <c r="I9" s="409">
        <v>1200</v>
      </c>
      <c r="J9" s="409">
        <v>1260</v>
      </c>
      <c r="K9" s="426">
        <v>98</v>
      </c>
    </row>
    <row r="10" spans="1:11" ht="15.6" x14ac:dyDescent="0.3">
      <c r="B10" s="425" t="s">
        <v>324</v>
      </c>
      <c r="C10" s="408">
        <v>85</v>
      </c>
      <c r="D10" s="409">
        <v>565</v>
      </c>
      <c r="E10" s="409" t="s">
        <v>26</v>
      </c>
      <c r="F10" s="409">
        <v>35</v>
      </c>
      <c r="G10" s="415" t="s">
        <v>203</v>
      </c>
      <c r="H10" s="409">
        <v>87</v>
      </c>
      <c r="I10" s="409">
        <v>1160</v>
      </c>
      <c r="J10" s="409">
        <v>1275</v>
      </c>
      <c r="K10" s="426">
        <v>86</v>
      </c>
    </row>
    <row r="11" spans="1:11" ht="15.6" x14ac:dyDescent="0.3">
      <c r="B11" s="423" t="s">
        <v>166</v>
      </c>
      <c r="C11" s="410"/>
      <c r="D11" s="412"/>
      <c r="E11" s="412"/>
      <c r="F11" s="411"/>
      <c r="G11" s="415" t="s">
        <v>177</v>
      </c>
      <c r="H11" s="409">
        <v>87</v>
      </c>
      <c r="I11" s="409">
        <v>1230</v>
      </c>
      <c r="J11" s="409">
        <v>1425</v>
      </c>
      <c r="K11" s="426">
        <v>105</v>
      </c>
    </row>
    <row r="12" spans="1:11" ht="15.6" x14ac:dyDescent="0.3">
      <c r="B12" s="425" t="s">
        <v>167</v>
      </c>
      <c r="C12" s="408">
        <v>84</v>
      </c>
      <c r="D12" s="409">
        <v>850</v>
      </c>
      <c r="E12" s="409">
        <v>830</v>
      </c>
      <c r="F12" s="409">
        <v>80</v>
      </c>
      <c r="G12" s="415" t="s">
        <v>338</v>
      </c>
      <c r="H12" s="409">
        <v>87</v>
      </c>
      <c r="I12" s="409">
        <v>1020</v>
      </c>
      <c r="J12" s="409">
        <v>1160</v>
      </c>
      <c r="K12" s="426">
        <v>110</v>
      </c>
    </row>
    <row r="13" spans="1:11" ht="15.6" x14ac:dyDescent="0.3">
      <c r="B13" s="425" t="s">
        <v>168</v>
      </c>
      <c r="C13" s="408">
        <v>84</v>
      </c>
      <c r="D13" s="409">
        <v>785</v>
      </c>
      <c r="E13" s="409">
        <v>770</v>
      </c>
      <c r="F13" s="409">
        <v>69</v>
      </c>
      <c r="G13" s="415" t="s">
        <v>204</v>
      </c>
      <c r="H13" s="409">
        <v>87</v>
      </c>
      <c r="I13" s="409">
        <v>1150</v>
      </c>
      <c r="J13" s="409">
        <v>1240</v>
      </c>
      <c r="K13" s="426">
        <v>115</v>
      </c>
    </row>
    <row r="14" spans="1:11" ht="15.6" x14ac:dyDescent="0.3">
      <c r="B14" s="425" t="s">
        <v>169</v>
      </c>
      <c r="C14" s="408">
        <v>84</v>
      </c>
      <c r="D14" s="409">
        <v>735</v>
      </c>
      <c r="E14" s="409">
        <v>715</v>
      </c>
      <c r="F14" s="409">
        <v>57</v>
      </c>
      <c r="G14" s="420" t="s">
        <v>340</v>
      </c>
      <c r="H14" s="419"/>
      <c r="I14" s="413"/>
      <c r="J14" s="413"/>
      <c r="K14" s="424"/>
    </row>
    <row r="15" spans="1:11" ht="15.6" x14ac:dyDescent="0.3">
      <c r="B15" s="425" t="s">
        <v>170</v>
      </c>
      <c r="C15" s="408">
        <v>84</v>
      </c>
      <c r="D15" s="409">
        <v>685</v>
      </c>
      <c r="E15" s="409">
        <v>675</v>
      </c>
      <c r="F15" s="409">
        <v>44</v>
      </c>
      <c r="G15" s="415" t="s">
        <v>205</v>
      </c>
      <c r="H15" s="409">
        <v>91</v>
      </c>
      <c r="I15" s="409">
        <v>715</v>
      </c>
      <c r="J15" s="409">
        <v>690</v>
      </c>
      <c r="K15" s="426">
        <v>80</v>
      </c>
    </row>
    <row r="16" spans="1:11" ht="15.6" x14ac:dyDescent="0.3">
      <c r="B16" s="425" t="s">
        <v>171</v>
      </c>
      <c r="C16" s="408">
        <v>84</v>
      </c>
      <c r="D16" s="409">
        <v>680</v>
      </c>
      <c r="E16" s="409">
        <v>620</v>
      </c>
      <c r="F16" s="409">
        <v>65</v>
      </c>
      <c r="G16" s="415" t="s">
        <v>206</v>
      </c>
      <c r="H16" s="409">
        <v>87</v>
      </c>
      <c r="I16" s="409">
        <v>1020</v>
      </c>
      <c r="J16" s="409">
        <v>1100</v>
      </c>
      <c r="K16" s="426">
        <v>105</v>
      </c>
    </row>
    <row r="17" spans="2:11" ht="15.6" x14ac:dyDescent="0.3">
      <c r="B17" s="425" t="s">
        <v>172</v>
      </c>
      <c r="C17" s="408">
        <v>84</v>
      </c>
      <c r="D17" s="409">
        <v>590</v>
      </c>
      <c r="E17" s="409">
        <v>490</v>
      </c>
      <c r="F17" s="409">
        <v>41</v>
      </c>
      <c r="G17" s="415" t="s">
        <v>207</v>
      </c>
      <c r="H17" s="409">
        <v>90</v>
      </c>
      <c r="I17" s="409">
        <v>1100</v>
      </c>
      <c r="J17" s="409">
        <v>1190</v>
      </c>
      <c r="K17" s="426">
        <v>53</v>
      </c>
    </row>
    <row r="18" spans="2:11" ht="15.6" x14ac:dyDescent="0.3">
      <c r="B18" s="425" t="s">
        <v>173</v>
      </c>
      <c r="C18" s="408">
        <v>84</v>
      </c>
      <c r="D18" s="409">
        <v>530</v>
      </c>
      <c r="E18" s="409">
        <v>450</v>
      </c>
      <c r="F18" s="409">
        <v>32</v>
      </c>
      <c r="G18" s="415" t="s">
        <v>208</v>
      </c>
      <c r="H18" s="409">
        <v>90</v>
      </c>
      <c r="I18" s="409">
        <v>1100</v>
      </c>
      <c r="J18" s="409">
        <v>1200</v>
      </c>
      <c r="K18" s="426">
        <v>82</v>
      </c>
    </row>
    <row r="19" spans="2:11" ht="15.6" x14ac:dyDescent="0.3">
      <c r="B19" s="423" t="s">
        <v>174</v>
      </c>
      <c r="C19" s="410"/>
      <c r="D19" s="412"/>
      <c r="E19" s="412"/>
      <c r="F19" s="411"/>
      <c r="G19" s="415" t="s">
        <v>339</v>
      </c>
      <c r="H19" s="409">
        <v>90</v>
      </c>
      <c r="I19" s="409">
        <v>910</v>
      </c>
      <c r="J19" s="409">
        <v>935</v>
      </c>
      <c r="K19" s="426">
        <v>181</v>
      </c>
    </row>
    <row r="20" spans="2:11" ht="15.6" x14ac:dyDescent="0.3">
      <c r="B20" s="425" t="s">
        <v>175</v>
      </c>
      <c r="C20" s="408">
        <v>17</v>
      </c>
      <c r="D20" s="409">
        <v>915</v>
      </c>
      <c r="E20" s="409">
        <v>930</v>
      </c>
      <c r="F20" s="409">
        <v>80</v>
      </c>
      <c r="G20" s="415" t="s">
        <v>209</v>
      </c>
      <c r="H20" s="409">
        <v>87</v>
      </c>
      <c r="I20" s="409">
        <v>930</v>
      </c>
      <c r="J20" s="409">
        <v>970</v>
      </c>
      <c r="K20" s="426">
        <v>75</v>
      </c>
    </row>
    <row r="21" spans="2:11" ht="15.6" x14ac:dyDescent="0.3">
      <c r="B21" s="425" t="s">
        <v>176</v>
      </c>
      <c r="C21" s="408">
        <v>20</v>
      </c>
      <c r="D21" s="409">
        <v>760</v>
      </c>
      <c r="E21" s="409">
        <v>740</v>
      </c>
      <c r="F21" s="409">
        <v>65</v>
      </c>
      <c r="G21" s="415" t="s">
        <v>210</v>
      </c>
      <c r="H21" s="409">
        <v>87</v>
      </c>
      <c r="I21" s="409">
        <v>995</v>
      </c>
      <c r="J21" s="409">
        <v>1050</v>
      </c>
      <c r="K21" s="426">
        <v>90</v>
      </c>
    </row>
    <row r="22" spans="2:11" ht="15.6" x14ac:dyDescent="0.3">
      <c r="B22" s="425" t="s">
        <v>325</v>
      </c>
      <c r="C22" s="408">
        <v>12</v>
      </c>
      <c r="D22" s="409">
        <v>960</v>
      </c>
      <c r="E22" s="409">
        <v>1000</v>
      </c>
      <c r="F22" s="409">
        <v>83</v>
      </c>
      <c r="G22" s="415" t="s">
        <v>211</v>
      </c>
      <c r="H22" s="409">
        <v>78</v>
      </c>
      <c r="I22" s="409">
        <v>1020</v>
      </c>
      <c r="J22" s="409">
        <v>1050</v>
      </c>
      <c r="K22" s="426">
        <v>70</v>
      </c>
    </row>
    <row r="23" spans="2:11" ht="15.6" x14ac:dyDescent="0.3">
      <c r="B23" s="425" t="s">
        <v>177</v>
      </c>
      <c r="C23" s="408">
        <v>28</v>
      </c>
      <c r="D23" s="409">
        <v>960</v>
      </c>
      <c r="E23" s="409">
        <v>1000</v>
      </c>
      <c r="F23" s="409">
        <v>55</v>
      </c>
      <c r="G23" s="415" t="s">
        <v>212</v>
      </c>
      <c r="H23" s="409">
        <v>87</v>
      </c>
      <c r="I23" s="409">
        <v>1130</v>
      </c>
      <c r="J23" s="409">
        <v>1240</v>
      </c>
      <c r="K23" s="426">
        <v>85</v>
      </c>
    </row>
    <row r="24" spans="2:11" ht="15.6" x14ac:dyDescent="0.3">
      <c r="B24" s="425" t="s">
        <v>178</v>
      </c>
      <c r="C24" s="408">
        <v>15</v>
      </c>
      <c r="D24" s="409">
        <v>840</v>
      </c>
      <c r="E24" s="409">
        <v>850</v>
      </c>
      <c r="F24" s="409">
        <v>55</v>
      </c>
      <c r="G24" s="415" t="s">
        <v>213</v>
      </c>
      <c r="H24" s="409">
        <v>87</v>
      </c>
      <c r="I24" s="409">
        <v>1250</v>
      </c>
      <c r="J24" s="409">
        <v>1390</v>
      </c>
      <c r="K24" s="426">
        <v>62</v>
      </c>
    </row>
    <row r="25" spans="2:11" ht="15.6" x14ac:dyDescent="0.3">
      <c r="B25" s="425" t="s">
        <v>179</v>
      </c>
      <c r="C25" s="408">
        <v>10</v>
      </c>
      <c r="D25" s="409">
        <v>820</v>
      </c>
      <c r="E25" s="409">
        <v>795</v>
      </c>
      <c r="F25" s="409">
        <v>65</v>
      </c>
      <c r="G25" s="415" t="s">
        <v>273</v>
      </c>
      <c r="H25" s="409">
        <v>90</v>
      </c>
      <c r="I25" s="409">
        <v>700</v>
      </c>
      <c r="J25" s="409" t="s">
        <v>26</v>
      </c>
      <c r="K25" s="426" t="s">
        <v>26</v>
      </c>
    </row>
    <row r="26" spans="2:11" ht="15.6" x14ac:dyDescent="0.3">
      <c r="B26" s="425" t="s">
        <v>263</v>
      </c>
      <c r="C26" s="408">
        <v>16</v>
      </c>
      <c r="D26" s="409">
        <v>800</v>
      </c>
      <c r="E26" s="409" t="s">
        <v>26</v>
      </c>
      <c r="F26" s="409">
        <v>70</v>
      </c>
      <c r="G26" s="415" t="s">
        <v>214</v>
      </c>
      <c r="H26" s="409">
        <v>90</v>
      </c>
      <c r="I26" s="409">
        <v>900</v>
      </c>
      <c r="J26" s="409" t="s">
        <v>26</v>
      </c>
      <c r="K26" s="426" t="s">
        <v>26</v>
      </c>
    </row>
    <row r="27" spans="2:11" ht="15.6" x14ac:dyDescent="0.3">
      <c r="B27" s="425" t="s">
        <v>180</v>
      </c>
      <c r="C27" s="408">
        <v>11</v>
      </c>
      <c r="D27" s="409">
        <v>950</v>
      </c>
      <c r="E27" s="409" t="s">
        <v>26</v>
      </c>
      <c r="F27" s="409">
        <v>85</v>
      </c>
      <c r="G27" s="415" t="s">
        <v>215</v>
      </c>
      <c r="H27" s="409">
        <v>90</v>
      </c>
      <c r="I27" s="409">
        <v>890</v>
      </c>
      <c r="J27" s="409">
        <v>910</v>
      </c>
      <c r="K27" s="426">
        <v>14</v>
      </c>
    </row>
    <row r="28" spans="2:11" ht="15.6" x14ac:dyDescent="0.3">
      <c r="B28" s="423" t="s">
        <v>181</v>
      </c>
      <c r="C28" s="419"/>
      <c r="D28" s="413"/>
      <c r="E28" s="413"/>
      <c r="F28" s="392"/>
      <c r="G28" s="415" t="s">
        <v>216</v>
      </c>
      <c r="H28" s="409">
        <v>80</v>
      </c>
      <c r="I28" s="409">
        <v>1040</v>
      </c>
      <c r="J28" s="409">
        <v>1105</v>
      </c>
      <c r="K28" s="426">
        <v>50</v>
      </c>
    </row>
    <row r="29" spans="2:11" ht="15.6" x14ac:dyDescent="0.3">
      <c r="B29" s="425" t="s">
        <v>182</v>
      </c>
      <c r="C29" s="408">
        <v>18</v>
      </c>
      <c r="D29" s="409">
        <v>900</v>
      </c>
      <c r="E29" s="409">
        <v>910</v>
      </c>
      <c r="F29" s="409">
        <v>50</v>
      </c>
      <c r="G29" s="420" t="s">
        <v>217</v>
      </c>
      <c r="H29" s="410"/>
      <c r="I29" s="412"/>
      <c r="J29" s="412"/>
      <c r="K29" s="427"/>
    </row>
    <row r="30" spans="2:11" ht="15.6" x14ac:dyDescent="0.3">
      <c r="B30" s="425" t="s">
        <v>183</v>
      </c>
      <c r="C30" s="408">
        <v>19</v>
      </c>
      <c r="D30" s="409">
        <v>825</v>
      </c>
      <c r="E30" s="409">
        <v>835</v>
      </c>
      <c r="F30" s="409">
        <v>43</v>
      </c>
      <c r="G30" s="415" t="s">
        <v>341</v>
      </c>
      <c r="H30" s="409">
        <v>91</v>
      </c>
      <c r="I30" s="409">
        <v>1240</v>
      </c>
      <c r="J30" s="409">
        <v>1375</v>
      </c>
      <c r="K30" s="426">
        <v>190</v>
      </c>
    </row>
    <row r="31" spans="2:11" ht="15.6" x14ac:dyDescent="0.3">
      <c r="B31" s="425" t="s">
        <v>184</v>
      </c>
      <c r="C31" s="408">
        <v>20</v>
      </c>
      <c r="D31" s="409">
        <v>70</v>
      </c>
      <c r="E31" s="409">
        <v>760</v>
      </c>
      <c r="F31" s="409">
        <v>36</v>
      </c>
      <c r="G31" s="415" t="s">
        <v>268</v>
      </c>
      <c r="H31" s="409">
        <v>91</v>
      </c>
      <c r="I31" s="409">
        <v>1000</v>
      </c>
      <c r="J31" s="409">
        <v>1060</v>
      </c>
      <c r="K31" s="426">
        <v>210</v>
      </c>
    </row>
    <row r="32" spans="2:11" ht="15.6" x14ac:dyDescent="0.3">
      <c r="B32" s="425" t="s">
        <v>185</v>
      </c>
      <c r="C32" s="408">
        <v>21</v>
      </c>
      <c r="D32" s="409">
        <v>675</v>
      </c>
      <c r="E32" s="409">
        <v>670</v>
      </c>
      <c r="F32" s="409">
        <v>30</v>
      </c>
      <c r="G32" s="415" t="s">
        <v>269</v>
      </c>
      <c r="H32" s="409">
        <v>90</v>
      </c>
      <c r="I32" s="409">
        <v>1210</v>
      </c>
      <c r="J32" s="409">
        <v>1335</v>
      </c>
      <c r="K32" s="426">
        <v>170</v>
      </c>
    </row>
    <row r="33" spans="2:11" ht="15.6" x14ac:dyDescent="0.3">
      <c r="B33" s="425" t="s">
        <v>326</v>
      </c>
      <c r="C33" s="408">
        <v>30</v>
      </c>
      <c r="D33" s="409">
        <v>900</v>
      </c>
      <c r="E33" s="409">
        <v>910</v>
      </c>
      <c r="F33" s="409">
        <v>59</v>
      </c>
      <c r="G33" s="415" t="s">
        <v>270</v>
      </c>
      <c r="H33" s="409">
        <v>91</v>
      </c>
      <c r="I33" s="409">
        <v>1120</v>
      </c>
      <c r="J33" s="409">
        <v>1220</v>
      </c>
      <c r="K33" s="426">
        <v>175</v>
      </c>
    </row>
    <row r="34" spans="2:11" ht="15.6" x14ac:dyDescent="0.3">
      <c r="B34" s="425" t="s">
        <v>327</v>
      </c>
      <c r="C34" s="408">
        <v>30</v>
      </c>
      <c r="D34" s="409">
        <v>825</v>
      </c>
      <c r="E34" s="409">
        <v>835</v>
      </c>
      <c r="F34" s="409">
        <v>50</v>
      </c>
      <c r="G34" s="415" t="s">
        <v>271</v>
      </c>
      <c r="H34" s="409">
        <v>91</v>
      </c>
      <c r="I34" s="409">
        <v>1090</v>
      </c>
      <c r="J34" s="409">
        <v>1180</v>
      </c>
      <c r="K34" s="426">
        <v>105</v>
      </c>
    </row>
    <row r="35" spans="2:11" ht="15.6" x14ac:dyDescent="0.3">
      <c r="B35" s="425" t="s">
        <v>328</v>
      </c>
      <c r="C35" s="408">
        <v>30</v>
      </c>
      <c r="D35" s="409">
        <v>750</v>
      </c>
      <c r="E35" s="409">
        <v>760</v>
      </c>
      <c r="F35" s="409">
        <v>41</v>
      </c>
      <c r="G35" s="415" t="s">
        <v>342</v>
      </c>
      <c r="H35" s="409">
        <v>90</v>
      </c>
      <c r="I35" s="409">
        <v>1175</v>
      </c>
      <c r="J35" s="409">
        <v>1295</v>
      </c>
      <c r="K35" s="426">
        <v>95</v>
      </c>
    </row>
    <row r="36" spans="2:11" ht="15.6" x14ac:dyDescent="0.3">
      <c r="B36" s="425" t="s">
        <v>329</v>
      </c>
      <c r="C36" s="408">
        <v>30</v>
      </c>
      <c r="D36" s="409">
        <v>675</v>
      </c>
      <c r="E36" s="409">
        <v>670</v>
      </c>
      <c r="F36" s="409">
        <v>32</v>
      </c>
      <c r="G36" s="415" t="s">
        <v>272</v>
      </c>
      <c r="H36" s="409">
        <v>90</v>
      </c>
      <c r="I36" s="409">
        <v>1090</v>
      </c>
      <c r="J36" s="409">
        <v>1180</v>
      </c>
      <c r="K36" s="426">
        <v>145</v>
      </c>
    </row>
    <row r="37" spans="2:11" ht="15.6" x14ac:dyDescent="0.3">
      <c r="B37" s="425" t="s">
        <v>330</v>
      </c>
      <c r="C37" s="408">
        <v>45</v>
      </c>
      <c r="D37" s="409">
        <v>900</v>
      </c>
      <c r="E37" s="409">
        <v>910</v>
      </c>
      <c r="F37" s="409">
        <v>70</v>
      </c>
      <c r="G37" s="415" t="s">
        <v>267</v>
      </c>
      <c r="H37" s="409">
        <v>93</v>
      </c>
      <c r="I37" s="409">
        <v>1160</v>
      </c>
      <c r="J37" s="409">
        <v>1275</v>
      </c>
      <c r="K37" s="426">
        <v>185</v>
      </c>
    </row>
    <row r="38" spans="2:11" ht="15.6" x14ac:dyDescent="0.3">
      <c r="B38" s="425" t="s">
        <v>331</v>
      </c>
      <c r="C38" s="408">
        <v>45</v>
      </c>
      <c r="D38" s="409">
        <v>925</v>
      </c>
      <c r="E38" s="409">
        <v>935</v>
      </c>
      <c r="F38" s="409">
        <v>60</v>
      </c>
      <c r="G38" s="415" t="s">
        <v>218</v>
      </c>
      <c r="H38" s="409">
        <v>91</v>
      </c>
      <c r="I38" s="409">
        <v>1080</v>
      </c>
      <c r="J38" s="409">
        <v>1165</v>
      </c>
      <c r="K38" s="426">
        <v>205</v>
      </c>
    </row>
    <row r="39" spans="2:11" ht="15.6" x14ac:dyDescent="0.3">
      <c r="B39" s="425" t="s">
        <v>332</v>
      </c>
      <c r="C39" s="408">
        <v>45</v>
      </c>
      <c r="D39" s="409">
        <v>750</v>
      </c>
      <c r="E39" s="409">
        <v>760</v>
      </c>
      <c r="F39" s="409">
        <v>50</v>
      </c>
      <c r="G39" s="415" t="s">
        <v>266</v>
      </c>
      <c r="H39" s="409">
        <v>91</v>
      </c>
      <c r="I39" s="409">
        <v>860</v>
      </c>
      <c r="J39" s="409">
        <v>875</v>
      </c>
      <c r="K39" s="426">
        <v>235</v>
      </c>
    </row>
    <row r="40" spans="2:11" ht="15.6" x14ac:dyDescent="0.3">
      <c r="B40" s="425" t="s">
        <v>333</v>
      </c>
      <c r="C40" s="408">
        <v>45</v>
      </c>
      <c r="D40" s="409">
        <v>675</v>
      </c>
      <c r="E40" s="409">
        <v>670</v>
      </c>
      <c r="F40" s="409">
        <v>40</v>
      </c>
      <c r="G40" s="415" t="s">
        <v>219</v>
      </c>
      <c r="H40" s="409">
        <v>91</v>
      </c>
      <c r="I40" s="409">
        <v>970</v>
      </c>
      <c r="J40" s="409">
        <v>1015</v>
      </c>
      <c r="K40" s="426">
        <v>180</v>
      </c>
    </row>
    <row r="41" spans="2:11" ht="15.6" x14ac:dyDescent="0.3">
      <c r="B41" s="423" t="s">
        <v>186</v>
      </c>
      <c r="C41" s="410"/>
      <c r="D41" s="412"/>
      <c r="E41" s="412"/>
      <c r="F41" s="411"/>
      <c r="G41" s="415" t="s">
        <v>220</v>
      </c>
      <c r="H41" s="409">
        <v>91</v>
      </c>
      <c r="I41" s="409">
        <v>935</v>
      </c>
      <c r="J41" s="409">
        <v>975</v>
      </c>
      <c r="K41" s="426">
        <v>180</v>
      </c>
    </row>
    <row r="42" spans="2:11" ht="15.6" x14ac:dyDescent="0.3">
      <c r="B42" s="425" t="s">
        <v>187</v>
      </c>
      <c r="C42" s="408">
        <v>22</v>
      </c>
      <c r="D42" s="409">
        <v>870</v>
      </c>
      <c r="E42" s="409">
        <v>880</v>
      </c>
      <c r="F42" s="409">
        <v>50</v>
      </c>
      <c r="G42" s="415" t="s">
        <v>221</v>
      </c>
      <c r="H42" s="409">
        <v>90</v>
      </c>
      <c r="I42" s="409">
        <v>930</v>
      </c>
      <c r="J42" s="409">
        <v>970</v>
      </c>
      <c r="K42" s="426">
        <v>120</v>
      </c>
    </row>
    <row r="43" spans="2:11" ht="15.6" x14ac:dyDescent="0.3">
      <c r="B43" s="425" t="s">
        <v>335</v>
      </c>
      <c r="C43" s="408">
        <v>26</v>
      </c>
      <c r="D43" s="409">
        <v>905</v>
      </c>
      <c r="E43" s="409">
        <v>910</v>
      </c>
      <c r="F43" s="409">
        <v>52</v>
      </c>
      <c r="G43" s="415" t="s">
        <v>222</v>
      </c>
      <c r="H43" s="409">
        <v>89</v>
      </c>
      <c r="I43" s="409">
        <v>1030</v>
      </c>
      <c r="J43" s="409">
        <v>1095</v>
      </c>
      <c r="K43" s="426">
        <v>100</v>
      </c>
    </row>
    <row r="44" spans="2:11" ht="15.6" x14ac:dyDescent="0.3">
      <c r="B44" s="425" t="s">
        <v>334</v>
      </c>
      <c r="C44" s="408">
        <v>30</v>
      </c>
      <c r="D44" s="409">
        <v>935</v>
      </c>
      <c r="E44" s="409">
        <v>950</v>
      </c>
      <c r="F44" s="409">
        <v>54</v>
      </c>
      <c r="G44" s="415" t="s">
        <v>265</v>
      </c>
      <c r="H44" s="409">
        <v>91</v>
      </c>
      <c r="I44" s="409">
        <v>890</v>
      </c>
      <c r="J44" s="409">
        <v>920</v>
      </c>
      <c r="K44" s="426">
        <v>145</v>
      </c>
    </row>
    <row r="45" spans="2:11" ht="15.6" x14ac:dyDescent="0.3">
      <c r="B45" s="425" t="s">
        <v>188</v>
      </c>
      <c r="C45" s="408">
        <v>34</v>
      </c>
      <c r="D45" s="409">
        <v>955</v>
      </c>
      <c r="E45" s="409">
        <v>970</v>
      </c>
      <c r="F45" s="409">
        <v>55</v>
      </c>
      <c r="G45" s="415" t="s">
        <v>264</v>
      </c>
      <c r="H45" s="409">
        <v>91</v>
      </c>
      <c r="I45" s="409">
        <v>975</v>
      </c>
      <c r="J45" s="409">
        <v>1025</v>
      </c>
      <c r="K45" s="426">
        <v>200</v>
      </c>
    </row>
    <row r="46" spans="2:11" ht="15.6" x14ac:dyDescent="0.3">
      <c r="B46" s="425" t="s">
        <v>176</v>
      </c>
      <c r="C46" s="408">
        <v>23</v>
      </c>
      <c r="D46" s="409">
        <v>720</v>
      </c>
      <c r="E46" s="409">
        <v>670</v>
      </c>
      <c r="F46" s="409">
        <v>30</v>
      </c>
      <c r="G46" s="415" t="s">
        <v>223</v>
      </c>
      <c r="H46" s="409">
        <v>91</v>
      </c>
      <c r="I46" s="409">
        <v>1110</v>
      </c>
      <c r="J46" s="409">
        <v>1205</v>
      </c>
      <c r="K46" s="426">
        <v>265</v>
      </c>
    </row>
    <row r="47" spans="2:11" ht="15.6" x14ac:dyDescent="0.3">
      <c r="B47" s="425" t="s">
        <v>173</v>
      </c>
      <c r="C47" s="408">
        <v>23</v>
      </c>
      <c r="D47" s="409">
        <v>625</v>
      </c>
      <c r="E47" s="409">
        <v>570</v>
      </c>
      <c r="F47" s="409">
        <v>45</v>
      </c>
      <c r="G47" s="420" t="s">
        <v>224</v>
      </c>
      <c r="H47" s="410"/>
      <c r="I47" s="412"/>
      <c r="J47" s="412"/>
      <c r="K47" s="427"/>
    </row>
    <row r="48" spans="2:11" ht="15.6" x14ac:dyDescent="0.3">
      <c r="B48" s="425" t="s">
        <v>189</v>
      </c>
      <c r="C48" s="408">
        <v>9</v>
      </c>
      <c r="D48" s="409">
        <v>1040</v>
      </c>
      <c r="E48" s="409">
        <v>1090</v>
      </c>
      <c r="F48" s="409">
        <v>106</v>
      </c>
      <c r="G48" s="415" t="s">
        <v>225</v>
      </c>
      <c r="H48" s="409">
        <v>15</v>
      </c>
      <c r="I48" s="409">
        <v>800</v>
      </c>
      <c r="J48" s="409" t="s">
        <v>26</v>
      </c>
      <c r="K48" s="426">
        <v>0</v>
      </c>
    </row>
    <row r="49" spans="2:11" ht="15.6" x14ac:dyDescent="0.3">
      <c r="B49" s="425" t="s">
        <v>190</v>
      </c>
      <c r="C49" s="408">
        <v>14</v>
      </c>
      <c r="D49" s="409">
        <v>1040</v>
      </c>
      <c r="E49" s="409">
        <v>1090</v>
      </c>
      <c r="F49" s="409">
        <v>105</v>
      </c>
      <c r="G49" s="415" t="s">
        <v>226</v>
      </c>
      <c r="H49" s="409">
        <v>18</v>
      </c>
      <c r="I49" s="409">
        <v>835</v>
      </c>
      <c r="J49" s="409" t="s">
        <v>26</v>
      </c>
      <c r="K49" s="426">
        <v>0</v>
      </c>
    </row>
    <row r="50" spans="2:11" ht="15.6" x14ac:dyDescent="0.3">
      <c r="B50" s="425" t="s">
        <v>191</v>
      </c>
      <c r="C50" s="408">
        <v>22</v>
      </c>
      <c r="D50" s="409">
        <v>1040</v>
      </c>
      <c r="E50" s="409">
        <v>1090</v>
      </c>
      <c r="F50" s="409">
        <v>105</v>
      </c>
      <c r="G50" s="415" t="s">
        <v>227</v>
      </c>
      <c r="H50" s="409">
        <v>35</v>
      </c>
      <c r="I50" s="409">
        <v>1000</v>
      </c>
      <c r="J50" s="409" t="s">
        <v>26</v>
      </c>
      <c r="K50" s="426">
        <v>97</v>
      </c>
    </row>
    <row r="51" spans="2:11" ht="15.6" x14ac:dyDescent="0.3">
      <c r="B51" s="425" t="s">
        <v>192</v>
      </c>
      <c r="C51" s="408">
        <v>24</v>
      </c>
      <c r="D51" s="409">
        <v>940</v>
      </c>
      <c r="E51" s="409">
        <v>940</v>
      </c>
      <c r="F51" s="409">
        <v>105</v>
      </c>
      <c r="G51" s="415" t="s">
        <v>228</v>
      </c>
      <c r="H51" s="409">
        <v>35</v>
      </c>
      <c r="I51" s="409">
        <v>900</v>
      </c>
      <c r="J51" s="409" t="s">
        <v>26</v>
      </c>
      <c r="K51" s="426">
        <v>0</v>
      </c>
    </row>
    <row r="52" spans="2:11" ht="15.6" x14ac:dyDescent="0.3">
      <c r="B52" s="425" t="s">
        <v>178</v>
      </c>
      <c r="C52" s="408">
        <v>17</v>
      </c>
      <c r="D52" s="409">
        <v>750</v>
      </c>
      <c r="E52" s="409">
        <v>725</v>
      </c>
      <c r="F52" s="409">
        <v>62</v>
      </c>
      <c r="G52" s="415" t="s">
        <v>229</v>
      </c>
      <c r="H52" s="409">
        <v>30</v>
      </c>
      <c r="I52" s="409">
        <v>750</v>
      </c>
      <c r="J52" s="409" t="s">
        <v>26</v>
      </c>
      <c r="K52" s="426">
        <v>0</v>
      </c>
    </row>
    <row r="53" spans="2:11" ht="15.6" x14ac:dyDescent="0.3">
      <c r="B53" s="423" t="s">
        <v>193</v>
      </c>
      <c r="C53" s="410"/>
      <c r="D53" s="412"/>
      <c r="E53" s="412"/>
      <c r="F53" s="411"/>
      <c r="G53" s="415" t="s">
        <v>230</v>
      </c>
      <c r="H53" s="409">
        <v>90</v>
      </c>
      <c r="I53" s="409">
        <v>930</v>
      </c>
      <c r="J53" s="409" t="s">
        <v>26</v>
      </c>
      <c r="K53" s="426">
        <v>182</v>
      </c>
    </row>
    <row r="54" spans="2:11" ht="15.6" x14ac:dyDescent="0.3">
      <c r="B54" s="425" t="s">
        <v>194</v>
      </c>
      <c r="C54" s="408">
        <v>22</v>
      </c>
      <c r="D54" s="409">
        <v>1080</v>
      </c>
      <c r="E54" s="409">
        <v>1150</v>
      </c>
      <c r="F54" s="409">
        <v>70</v>
      </c>
      <c r="G54" s="415" t="s">
        <v>231</v>
      </c>
      <c r="H54" s="409">
        <v>30</v>
      </c>
      <c r="I54" s="409">
        <v>800</v>
      </c>
      <c r="J54" s="409" t="s">
        <v>26</v>
      </c>
      <c r="K54" s="426">
        <v>0</v>
      </c>
    </row>
    <row r="55" spans="2:11" ht="15.6" x14ac:dyDescent="0.3">
      <c r="B55" s="428" t="s">
        <v>195</v>
      </c>
      <c r="C55" s="417">
        <v>22</v>
      </c>
      <c r="D55" s="418">
        <v>1050</v>
      </c>
      <c r="E55" s="418">
        <v>1170</v>
      </c>
      <c r="F55" s="418">
        <v>65</v>
      </c>
      <c r="G55" s="416" t="s">
        <v>232</v>
      </c>
      <c r="H55" s="418">
        <v>16</v>
      </c>
      <c r="I55" s="418">
        <v>1000</v>
      </c>
      <c r="J55" s="418">
        <v>1060</v>
      </c>
      <c r="K55" s="429">
        <v>45</v>
      </c>
    </row>
    <row r="56" spans="2:11" ht="15.6" x14ac:dyDescent="0.3">
      <c r="B56" s="425" t="s">
        <v>196</v>
      </c>
      <c r="C56" s="408">
        <v>13</v>
      </c>
      <c r="D56" s="409">
        <v>1090</v>
      </c>
      <c r="E56" s="409">
        <v>1225</v>
      </c>
      <c r="F56" s="409">
        <v>75</v>
      </c>
      <c r="G56" s="415" t="s">
        <v>343</v>
      </c>
      <c r="H56" s="409">
        <v>16</v>
      </c>
      <c r="I56" s="409">
        <v>1070</v>
      </c>
      <c r="J56" s="409">
        <v>1155</v>
      </c>
      <c r="K56" s="429">
        <v>65</v>
      </c>
    </row>
    <row r="57" spans="2:11" ht="15.6" x14ac:dyDescent="0.3">
      <c r="B57" s="425" t="s">
        <v>197</v>
      </c>
      <c r="C57" s="408">
        <v>13</v>
      </c>
      <c r="D57" s="409">
        <v>960</v>
      </c>
      <c r="E57" s="409">
        <v>1170</v>
      </c>
      <c r="F57" s="409">
        <v>60</v>
      </c>
      <c r="G57" s="415" t="s">
        <v>344</v>
      </c>
      <c r="H57" s="409">
        <v>14.5</v>
      </c>
      <c r="I57" s="409">
        <v>1035</v>
      </c>
      <c r="J57" s="409">
        <v>1105</v>
      </c>
      <c r="K57" s="429">
        <v>105</v>
      </c>
    </row>
    <row r="58" spans="2:11" ht="15.6" x14ac:dyDescent="0.3">
      <c r="B58" s="425" t="s">
        <v>336</v>
      </c>
      <c r="C58" s="408">
        <v>13</v>
      </c>
      <c r="D58" s="409">
        <v>1000</v>
      </c>
      <c r="E58" s="409">
        <v>1045</v>
      </c>
      <c r="F58" s="409">
        <v>65</v>
      </c>
      <c r="G58" s="415" t="s">
        <v>233</v>
      </c>
      <c r="H58" s="409">
        <v>7</v>
      </c>
      <c r="I58" s="409">
        <v>1100</v>
      </c>
      <c r="J58" s="409">
        <v>1190</v>
      </c>
      <c r="K58" s="429">
        <v>99</v>
      </c>
    </row>
    <row r="59" spans="2:11" ht="16.2" thickBot="1" x14ac:dyDescent="0.35">
      <c r="B59" s="430" t="s">
        <v>337</v>
      </c>
      <c r="C59" s="431">
        <v>13</v>
      </c>
      <c r="D59" s="432">
        <v>885</v>
      </c>
      <c r="E59" s="433">
        <v>900</v>
      </c>
      <c r="F59" s="433">
        <v>70</v>
      </c>
      <c r="G59" s="434"/>
      <c r="H59" s="433"/>
      <c r="I59" s="433"/>
      <c r="J59" s="433"/>
      <c r="K59" s="435"/>
    </row>
  </sheetData>
  <sheetProtection sheet="1" formatColumns="0" selectLockedCells="1"/>
  <mergeCells count="1">
    <mergeCell ref="B2:K2"/>
  </mergeCells>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N3"/>
  <sheetViews>
    <sheetView showGridLines="0" workbookViewId="0">
      <selection activeCell="F7" sqref="F7"/>
    </sheetView>
  </sheetViews>
  <sheetFormatPr baseColWidth="10" defaultRowHeight="14.4" x14ac:dyDescent="0.3"/>
  <cols>
    <col min="1" max="1" width="11.5546875" customWidth="1"/>
  </cols>
  <sheetData>
    <row r="2" spans="2:14" ht="14.4" customHeight="1" x14ac:dyDescent="0.3">
      <c r="B2" s="524" t="s">
        <v>348</v>
      </c>
      <c r="C2" s="524"/>
      <c r="D2" s="524"/>
      <c r="E2" s="524"/>
      <c r="F2" s="524"/>
      <c r="G2" s="524"/>
      <c r="H2" s="524"/>
      <c r="I2" s="524"/>
      <c r="J2" s="524"/>
      <c r="K2" s="524"/>
      <c r="L2" s="524"/>
      <c r="M2" s="524"/>
      <c r="N2" s="437"/>
    </row>
    <row r="3" spans="2:14" ht="14.4" customHeight="1" x14ac:dyDescent="0.3">
      <c r="B3" s="524"/>
      <c r="C3" s="524"/>
      <c r="D3" s="524"/>
      <c r="E3" s="524"/>
      <c r="F3" s="524"/>
      <c r="G3" s="524"/>
      <c r="H3" s="524"/>
      <c r="I3" s="524"/>
      <c r="J3" s="524"/>
      <c r="K3" s="524"/>
      <c r="L3" s="524"/>
      <c r="M3" s="524"/>
      <c r="N3" s="437"/>
    </row>
  </sheetData>
  <sheetProtection sheet="1" objects="1" scenarios="1"/>
  <mergeCells count="1">
    <mergeCell ref="B2:M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249977111117893"/>
  </sheetPr>
  <dimension ref="A1:R45"/>
  <sheetViews>
    <sheetView showGridLines="0" zoomScale="85" zoomScaleNormal="85" workbookViewId="0">
      <selection activeCell="B3" sqref="B3:R31"/>
    </sheetView>
  </sheetViews>
  <sheetFormatPr baseColWidth="10" defaultRowHeight="14.4" x14ac:dyDescent="0.3"/>
  <cols>
    <col min="1" max="1" width="0.6640625" style="20" customWidth="1"/>
    <col min="2" max="2" width="20.33203125" customWidth="1"/>
    <col min="3" max="3" width="24.109375" customWidth="1"/>
    <col min="4" max="4" width="12.33203125" customWidth="1"/>
    <col min="5" max="5" width="12.21875" customWidth="1"/>
    <col min="10" max="10" width="30.33203125" customWidth="1"/>
    <col min="17" max="17" width="10.77734375" style="14"/>
    <col min="18" max="18" width="17.33203125" customWidth="1"/>
  </cols>
  <sheetData>
    <row r="1" spans="2:18" s="20" customFormat="1" ht="6" customHeight="1" thickBot="1" x14ac:dyDescent="0.35">
      <c r="Q1" s="14"/>
    </row>
    <row r="2" spans="2:18" ht="34.200000000000003" customHeight="1" x14ac:dyDescent="0.3">
      <c r="B2" s="525" t="s">
        <v>285</v>
      </c>
      <c r="C2" s="526"/>
      <c r="D2" s="526"/>
      <c r="E2" s="526"/>
      <c r="F2" s="526"/>
      <c r="G2" s="526"/>
      <c r="H2" s="526"/>
      <c r="I2" s="526"/>
      <c r="J2" s="526"/>
      <c r="K2" s="526"/>
      <c r="L2" s="526"/>
      <c r="M2" s="526"/>
      <c r="N2" s="526"/>
      <c r="O2" s="526"/>
      <c r="P2" s="526"/>
      <c r="Q2" s="526"/>
      <c r="R2" s="527"/>
    </row>
    <row r="3" spans="2:18" s="385" customFormat="1" ht="14.4" customHeight="1" x14ac:dyDescent="0.3">
      <c r="B3" s="528" t="s">
        <v>355</v>
      </c>
      <c r="C3" s="529"/>
      <c r="D3" s="529"/>
      <c r="E3" s="529"/>
      <c r="F3" s="529"/>
      <c r="G3" s="529"/>
      <c r="H3" s="529"/>
      <c r="I3" s="529"/>
      <c r="J3" s="529"/>
      <c r="K3" s="529"/>
      <c r="L3" s="529"/>
      <c r="M3" s="529"/>
      <c r="N3" s="529"/>
      <c r="O3" s="529"/>
      <c r="P3" s="529"/>
      <c r="Q3" s="529"/>
      <c r="R3" s="530"/>
    </row>
    <row r="4" spans="2:18" s="385" customFormat="1" x14ac:dyDescent="0.3">
      <c r="B4" s="528"/>
      <c r="C4" s="529"/>
      <c r="D4" s="529"/>
      <c r="E4" s="529"/>
      <c r="F4" s="529"/>
      <c r="G4" s="529"/>
      <c r="H4" s="529"/>
      <c r="I4" s="529"/>
      <c r="J4" s="529"/>
      <c r="K4" s="529"/>
      <c r="L4" s="529"/>
      <c r="M4" s="529"/>
      <c r="N4" s="529"/>
      <c r="O4" s="529"/>
      <c r="P4" s="529"/>
      <c r="Q4" s="529"/>
      <c r="R4" s="530"/>
    </row>
    <row r="5" spans="2:18" s="385" customFormat="1" x14ac:dyDescent="0.3">
      <c r="B5" s="528"/>
      <c r="C5" s="529"/>
      <c r="D5" s="529"/>
      <c r="E5" s="529"/>
      <c r="F5" s="529"/>
      <c r="G5" s="529"/>
      <c r="H5" s="529"/>
      <c r="I5" s="529"/>
      <c r="J5" s="529"/>
      <c r="K5" s="529"/>
      <c r="L5" s="529"/>
      <c r="M5" s="529"/>
      <c r="N5" s="529"/>
      <c r="O5" s="529"/>
      <c r="P5" s="529"/>
      <c r="Q5" s="529"/>
      <c r="R5" s="530"/>
    </row>
    <row r="6" spans="2:18" s="385" customFormat="1" x14ac:dyDescent="0.3">
      <c r="B6" s="528"/>
      <c r="C6" s="529"/>
      <c r="D6" s="529"/>
      <c r="E6" s="529"/>
      <c r="F6" s="529"/>
      <c r="G6" s="529"/>
      <c r="H6" s="529"/>
      <c r="I6" s="529"/>
      <c r="J6" s="529"/>
      <c r="K6" s="529"/>
      <c r="L6" s="529"/>
      <c r="M6" s="529"/>
      <c r="N6" s="529"/>
      <c r="O6" s="529"/>
      <c r="P6" s="529"/>
      <c r="Q6" s="529"/>
      <c r="R6" s="530"/>
    </row>
    <row r="7" spans="2:18" s="385" customFormat="1" ht="15.6" customHeight="1" x14ac:dyDescent="0.3">
      <c r="B7" s="528"/>
      <c r="C7" s="529"/>
      <c r="D7" s="529"/>
      <c r="E7" s="529"/>
      <c r="F7" s="529"/>
      <c r="G7" s="529"/>
      <c r="H7" s="529"/>
      <c r="I7" s="529"/>
      <c r="J7" s="529"/>
      <c r="K7" s="529"/>
      <c r="L7" s="529"/>
      <c r="M7" s="529"/>
      <c r="N7" s="529"/>
      <c r="O7" s="529"/>
      <c r="P7" s="529"/>
      <c r="Q7" s="529"/>
      <c r="R7" s="530"/>
    </row>
    <row r="8" spans="2:18" s="385" customFormat="1" ht="15.6" customHeight="1" x14ac:dyDescent="0.3">
      <c r="B8" s="528"/>
      <c r="C8" s="529"/>
      <c r="D8" s="529"/>
      <c r="E8" s="529"/>
      <c r="F8" s="529"/>
      <c r="G8" s="529"/>
      <c r="H8" s="529"/>
      <c r="I8" s="529"/>
      <c r="J8" s="529"/>
      <c r="K8" s="529"/>
      <c r="L8" s="529"/>
      <c r="M8" s="529"/>
      <c r="N8" s="529"/>
      <c r="O8" s="529"/>
      <c r="P8" s="529"/>
      <c r="Q8" s="529"/>
      <c r="R8" s="530"/>
    </row>
    <row r="9" spans="2:18" s="385" customFormat="1" x14ac:dyDescent="0.3">
      <c r="B9" s="528"/>
      <c r="C9" s="529"/>
      <c r="D9" s="529"/>
      <c r="E9" s="529"/>
      <c r="F9" s="529"/>
      <c r="G9" s="529"/>
      <c r="H9" s="529"/>
      <c r="I9" s="529"/>
      <c r="J9" s="529"/>
      <c r="K9" s="529"/>
      <c r="L9" s="529"/>
      <c r="M9" s="529"/>
      <c r="N9" s="529"/>
      <c r="O9" s="529"/>
      <c r="P9" s="529"/>
      <c r="Q9" s="529"/>
      <c r="R9" s="530"/>
    </row>
    <row r="10" spans="2:18" s="385" customFormat="1" x14ac:dyDescent="0.3">
      <c r="B10" s="528"/>
      <c r="C10" s="529"/>
      <c r="D10" s="529"/>
      <c r="E10" s="529"/>
      <c r="F10" s="529"/>
      <c r="G10" s="529"/>
      <c r="H10" s="529"/>
      <c r="I10" s="529"/>
      <c r="J10" s="529"/>
      <c r="K10" s="529"/>
      <c r="L10" s="529"/>
      <c r="M10" s="529"/>
      <c r="N10" s="529"/>
      <c r="O10" s="529"/>
      <c r="P10" s="529"/>
      <c r="Q10" s="529"/>
      <c r="R10" s="530"/>
    </row>
    <row r="11" spans="2:18" s="385" customFormat="1" x14ac:dyDescent="0.3">
      <c r="B11" s="528"/>
      <c r="C11" s="529"/>
      <c r="D11" s="529"/>
      <c r="E11" s="529"/>
      <c r="F11" s="529"/>
      <c r="G11" s="529"/>
      <c r="H11" s="529"/>
      <c r="I11" s="529"/>
      <c r="J11" s="529"/>
      <c r="K11" s="529"/>
      <c r="L11" s="529"/>
      <c r="M11" s="529"/>
      <c r="N11" s="529"/>
      <c r="O11" s="529"/>
      <c r="P11" s="529"/>
      <c r="Q11" s="529"/>
      <c r="R11" s="530"/>
    </row>
    <row r="12" spans="2:18" s="385" customFormat="1" x14ac:dyDescent="0.3">
      <c r="B12" s="528"/>
      <c r="C12" s="529"/>
      <c r="D12" s="529"/>
      <c r="E12" s="529"/>
      <c r="F12" s="529"/>
      <c r="G12" s="529"/>
      <c r="H12" s="529"/>
      <c r="I12" s="529"/>
      <c r="J12" s="529"/>
      <c r="K12" s="529"/>
      <c r="L12" s="529"/>
      <c r="M12" s="529"/>
      <c r="N12" s="529"/>
      <c r="O12" s="529"/>
      <c r="P12" s="529"/>
      <c r="Q12" s="529"/>
      <c r="R12" s="530"/>
    </row>
    <row r="13" spans="2:18" s="385" customFormat="1" x14ac:dyDescent="0.3">
      <c r="B13" s="528"/>
      <c r="C13" s="529"/>
      <c r="D13" s="529"/>
      <c r="E13" s="529"/>
      <c r="F13" s="529"/>
      <c r="G13" s="529"/>
      <c r="H13" s="529"/>
      <c r="I13" s="529"/>
      <c r="J13" s="529"/>
      <c r="K13" s="529"/>
      <c r="L13" s="529"/>
      <c r="M13" s="529"/>
      <c r="N13" s="529"/>
      <c r="O13" s="529"/>
      <c r="P13" s="529"/>
      <c r="Q13" s="529"/>
      <c r="R13" s="530"/>
    </row>
    <row r="14" spans="2:18" s="385" customFormat="1" x14ac:dyDescent="0.3">
      <c r="B14" s="528"/>
      <c r="C14" s="529"/>
      <c r="D14" s="529"/>
      <c r="E14" s="529"/>
      <c r="F14" s="529"/>
      <c r="G14" s="529"/>
      <c r="H14" s="529"/>
      <c r="I14" s="529"/>
      <c r="J14" s="529"/>
      <c r="K14" s="529"/>
      <c r="L14" s="529"/>
      <c r="M14" s="529"/>
      <c r="N14" s="529"/>
      <c r="O14" s="529"/>
      <c r="P14" s="529"/>
      <c r="Q14" s="529"/>
      <c r="R14" s="530"/>
    </row>
    <row r="15" spans="2:18" s="385" customFormat="1" x14ac:dyDescent="0.3">
      <c r="B15" s="528"/>
      <c r="C15" s="529"/>
      <c r="D15" s="529"/>
      <c r="E15" s="529"/>
      <c r="F15" s="529"/>
      <c r="G15" s="529"/>
      <c r="H15" s="529"/>
      <c r="I15" s="529"/>
      <c r="J15" s="529"/>
      <c r="K15" s="529"/>
      <c r="L15" s="529"/>
      <c r="M15" s="529"/>
      <c r="N15" s="529"/>
      <c r="O15" s="529"/>
      <c r="P15" s="529"/>
      <c r="Q15" s="529"/>
      <c r="R15" s="530"/>
    </row>
    <row r="16" spans="2:18" s="385" customFormat="1" x14ac:dyDescent="0.3">
      <c r="B16" s="528"/>
      <c r="C16" s="529"/>
      <c r="D16" s="529"/>
      <c r="E16" s="529"/>
      <c r="F16" s="529"/>
      <c r="G16" s="529"/>
      <c r="H16" s="529"/>
      <c r="I16" s="529"/>
      <c r="J16" s="529"/>
      <c r="K16" s="529"/>
      <c r="L16" s="529"/>
      <c r="M16" s="529"/>
      <c r="N16" s="529"/>
      <c r="O16" s="529"/>
      <c r="P16" s="529"/>
      <c r="Q16" s="529"/>
      <c r="R16" s="530"/>
    </row>
    <row r="17" spans="2:18" s="385" customFormat="1" x14ac:dyDescent="0.3">
      <c r="B17" s="528"/>
      <c r="C17" s="529"/>
      <c r="D17" s="529"/>
      <c r="E17" s="529"/>
      <c r="F17" s="529"/>
      <c r="G17" s="529"/>
      <c r="H17" s="529"/>
      <c r="I17" s="529"/>
      <c r="J17" s="529"/>
      <c r="K17" s="529"/>
      <c r="L17" s="529"/>
      <c r="M17" s="529"/>
      <c r="N17" s="529"/>
      <c r="O17" s="529"/>
      <c r="P17" s="529"/>
      <c r="Q17" s="529"/>
      <c r="R17" s="530"/>
    </row>
    <row r="18" spans="2:18" s="385" customFormat="1" x14ac:dyDescent="0.3">
      <c r="B18" s="528"/>
      <c r="C18" s="529"/>
      <c r="D18" s="529"/>
      <c r="E18" s="529"/>
      <c r="F18" s="529"/>
      <c r="G18" s="529"/>
      <c r="H18" s="529"/>
      <c r="I18" s="529"/>
      <c r="J18" s="529"/>
      <c r="K18" s="529"/>
      <c r="L18" s="529"/>
      <c r="M18" s="529"/>
      <c r="N18" s="529"/>
      <c r="O18" s="529"/>
      <c r="P18" s="529"/>
      <c r="Q18" s="529"/>
      <c r="R18" s="530"/>
    </row>
    <row r="19" spans="2:18" s="385" customFormat="1" x14ac:dyDescent="0.3">
      <c r="B19" s="528"/>
      <c r="C19" s="529"/>
      <c r="D19" s="529"/>
      <c r="E19" s="529"/>
      <c r="F19" s="529"/>
      <c r="G19" s="529"/>
      <c r="H19" s="529"/>
      <c r="I19" s="529"/>
      <c r="J19" s="529"/>
      <c r="K19" s="529"/>
      <c r="L19" s="529"/>
      <c r="M19" s="529"/>
      <c r="N19" s="529"/>
      <c r="O19" s="529"/>
      <c r="P19" s="529"/>
      <c r="Q19" s="529"/>
      <c r="R19" s="530"/>
    </row>
    <row r="20" spans="2:18" s="385" customFormat="1" x14ac:dyDescent="0.3">
      <c r="B20" s="528"/>
      <c r="C20" s="529"/>
      <c r="D20" s="529"/>
      <c r="E20" s="529"/>
      <c r="F20" s="529"/>
      <c r="G20" s="529"/>
      <c r="H20" s="529"/>
      <c r="I20" s="529"/>
      <c r="J20" s="529"/>
      <c r="K20" s="529"/>
      <c r="L20" s="529"/>
      <c r="M20" s="529"/>
      <c r="N20" s="529"/>
      <c r="O20" s="529"/>
      <c r="P20" s="529"/>
      <c r="Q20" s="529"/>
      <c r="R20" s="530"/>
    </row>
    <row r="21" spans="2:18" s="385" customFormat="1" x14ac:dyDescent="0.3">
      <c r="B21" s="528"/>
      <c r="C21" s="529"/>
      <c r="D21" s="529"/>
      <c r="E21" s="529"/>
      <c r="F21" s="529"/>
      <c r="G21" s="529"/>
      <c r="H21" s="529"/>
      <c r="I21" s="529"/>
      <c r="J21" s="529"/>
      <c r="K21" s="529"/>
      <c r="L21" s="529"/>
      <c r="M21" s="529"/>
      <c r="N21" s="529"/>
      <c r="O21" s="529"/>
      <c r="P21" s="529"/>
      <c r="Q21" s="529"/>
      <c r="R21" s="530"/>
    </row>
    <row r="22" spans="2:18" s="385" customFormat="1" x14ac:dyDescent="0.3">
      <c r="B22" s="528"/>
      <c r="C22" s="529"/>
      <c r="D22" s="529"/>
      <c r="E22" s="529"/>
      <c r="F22" s="529"/>
      <c r="G22" s="529"/>
      <c r="H22" s="529"/>
      <c r="I22" s="529"/>
      <c r="J22" s="529"/>
      <c r="K22" s="529"/>
      <c r="L22" s="529"/>
      <c r="M22" s="529"/>
      <c r="N22" s="529"/>
      <c r="O22" s="529"/>
      <c r="P22" s="529"/>
      <c r="Q22" s="529"/>
      <c r="R22" s="530"/>
    </row>
    <row r="23" spans="2:18" s="385" customFormat="1" x14ac:dyDescent="0.3">
      <c r="B23" s="528"/>
      <c r="C23" s="529"/>
      <c r="D23" s="529"/>
      <c r="E23" s="529"/>
      <c r="F23" s="529"/>
      <c r="G23" s="529"/>
      <c r="H23" s="529"/>
      <c r="I23" s="529"/>
      <c r="J23" s="529"/>
      <c r="K23" s="529"/>
      <c r="L23" s="529"/>
      <c r="M23" s="529"/>
      <c r="N23" s="529"/>
      <c r="O23" s="529"/>
      <c r="P23" s="529"/>
      <c r="Q23" s="529"/>
      <c r="R23" s="530"/>
    </row>
    <row r="24" spans="2:18" s="385" customFormat="1" x14ac:dyDescent="0.3">
      <c r="B24" s="528"/>
      <c r="C24" s="529"/>
      <c r="D24" s="529"/>
      <c r="E24" s="529"/>
      <c r="F24" s="529"/>
      <c r="G24" s="529"/>
      <c r="H24" s="529"/>
      <c r="I24" s="529"/>
      <c r="J24" s="529"/>
      <c r="K24" s="529"/>
      <c r="L24" s="529"/>
      <c r="M24" s="529"/>
      <c r="N24" s="529"/>
      <c r="O24" s="529"/>
      <c r="P24" s="529"/>
      <c r="Q24" s="529"/>
      <c r="R24" s="530"/>
    </row>
    <row r="25" spans="2:18" s="385" customFormat="1" x14ac:dyDescent="0.3">
      <c r="B25" s="528"/>
      <c r="C25" s="529"/>
      <c r="D25" s="529"/>
      <c r="E25" s="529"/>
      <c r="F25" s="529"/>
      <c r="G25" s="529"/>
      <c r="H25" s="529"/>
      <c r="I25" s="529"/>
      <c r="J25" s="529"/>
      <c r="K25" s="529"/>
      <c r="L25" s="529"/>
      <c r="M25" s="529"/>
      <c r="N25" s="529"/>
      <c r="O25" s="529"/>
      <c r="P25" s="529"/>
      <c r="Q25" s="529"/>
      <c r="R25" s="530"/>
    </row>
    <row r="26" spans="2:18" s="385" customFormat="1" x14ac:dyDescent="0.3">
      <c r="B26" s="528"/>
      <c r="C26" s="529"/>
      <c r="D26" s="529"/>
      <c r="E26" s="529"/>
      <c r="F26" s="529"/>
      <c r="G26" s="529"/>
      <c r="H26" s="529"/>
      <c r="I26" s="529"/>
      <c r="J26" s="529"/>
      <c r="K26" s="529"/>
      <c r="L26" s="529"/>
      <c r="M26" s="529"/>
      <c r="N26" s="529"/>
      <c r="O26" s="529"/>
      <c r="P26" s="529"/>
      <c r="Q26" s="529"/>
      <c r="R26" s="530"/>
    </row>
    <row r="27" spans="2:18" s="385" customFormat="1" x14ac:dyDescent="0.3">
      <c r="B27" s="528"/>
      <c r="C27" s="529"/>
      <c r="D27" s="529"/>
      <c r="E27" s="529"/>
      <c r="F27" s="529"/>
      <c r="G27" s="529"/>
      <c r="H27" s="529"/>
      <c r="I27" s="529"/>
      <c r="J27" s="529"/>
      <c r="K27" s="529"/>
      <c r="L27" s="529"/>
      <c r="M27" s="529"/>
      <c r="N27" s="529"/>
      <c r="O27" s="529"/>
      <c r="P27" s="529"/>
      <c r="Q27" s="529"/>
      <c r="R27" s="530"/>
    </row>
    <row r="28" spans="2:18" s="385" customFormat="1" x14ac:dyDescent="0.3">
      <c r="B28" s="528"/>
      <c r="C28" s="529"/>
      <c r="D28" s="529"/>
      <c r="E28" s="529"/>
      <c r="F28" s="529"/>
      <c r="G28" s="529"/>
      <c r="H28" s="529"/>
      <c r="I28" s="529"/>
      <c r="J28" s="529"/>
      <c r="K28" s="529"/>
      <c r="L28" s="529"/>
      <c r="M28" s="529"/>
      <c r="N28" s="529"/>
      <c r="O28" s="529"/>
      <c r="P28" s="529"/>
      <c r="Q28" s="529"/>
      <c r="R28" s="530"/>
    </row>
    <row r="29" spans="2:18" s="385" customFormat="1" x14ac:dyDescent="0.3">
      <c r="B29" s="528"/>
      <c r="C29" s="529"/>
      <c r="D29" s="529"/>
      <c r="E29" s="529"/>
      <c r="F29" s="529"/>
      <c r="G29" s="529"/>
      <c r="H29" s="529"/>
      <c r="I29" s="529"/>
      <c r="J29" s="529"/>
      <c r="K29" s="529"/>
      <c r="L29" s="529"/>
      <c r="M29" s="529"/>
      <c r="N29" s="529"/>
      <c r="O29" s="529"/>
      <c r="P29" s="529"/>
      <c r="Q29" s="529"/>
      <c r="R29" s="530"/>
    </row>
    <row r="30" spans="2:18" s="385" customFormat="1" x14ac:dyDescent="0.3">
      <c r="B30" s="528"/>
      <c r="C30" s="529"/>
      <c r="D30" s="529"/>
      <c r="E30" s="529"/>
      <c r="F30" s="529"/>
      <c r="G30" s="529"/>
      <c r="H30" s="529"/>
      <c r="I30" s="529"/>
      <c r="J30" s="529"/>
      <c r="K30" s="529"/>
      <c r="L30" s="529"/>
      <c r="M30" s="529"/>
      <c r="N30" s="529"/>
      <c r="O30" s="529"/>
      <c r="P30" s="529"/>
      <c r="Q30" s="529"/>
      <c r="R30" s="530"/>
    </row>
    <row r="31" spans="2:18" s="385" customFormat="1" ht="15" thickBot="1" x14ac:dyDescent="0.35">
      <c r="B31" s="531"/>
      <c r="C31" s="532"/>
      <c r="D31" s="532"/>
      <c r="E31" s="532"/>
      <c r="F31" s="532"/>
      <c r="G31" s="532"/>
      <c r="H31" s="532"/>
      <c r="I31" s="532"/>
      <c r="J31" s="532"/>
      <c r="K31" s="532"/>
      <c r="L31" s="532"/>
      <c r="M31" s="532"/>
      <c r="N31" s="532"/>
      <c r="O31" s="532"/>
      <c r="P31" s="532"/>
      <c r="Q31" s="532"/>
      <c r="R31" s="533"/>
    </row>
    <row r="32" spans="2:18" s="385" customFormat="1" x14ac:dyDescent="0.3">
      <c r="B32" s="438"/>
      <c r="C32" s="438"/>
      <c r="D32" s="438"/>
      <c r="E32" s="438"/>
      <c r="F32" s="438"/>
      <c r="G32" s="438"/>
      <c r="H32" s="438"/>
      <c r="I32" s="438"/>
      <c r="J32" s="438"/>
      <c r="K32" s="438"/>
      <c r="L32" s="438"/>
      <c r="M32" s="438"/>
      <c r="N32" s="438"/>
      <c r="O32" s="438"/>
      <c r="P32" s="438"/>
      <c r="Q32" s="438"/>
      <c r="R32" s="438"/>
    </row>
    <row r="33" spans="2:18" s="384" customFormat="1" x14ac:dyDescent="0.3">
      <c r="B33" s="438"/>
      <c r="C33" s="438"/>
      <c r="D33" s="438"/>
      <c r="E33" s="438"/>
      <c r="F33" s="438"/>
      <c r="G33" s="438"/>
      <c r="H33" s="438"/>
      <c r="I33" s="438"/>
      <c r="J33" s="438"/>
      <c r="K33" s="438"/>
      <c r="L33" s="438"/>
      <c r="M33" s="438"/>
      <c r="N33" s="438"/>
      <c r="O33" s="438"/>
      <c r="P33" s="438"/>
      <c r="Q33" s="438"/>
      <c r="R33" s="438"/>
    </row>
    <row r="34" spans="2:18" s="384" customFormat="1" x14ac:dyDescent="0.3">
      <c r="B34" s="438"/>
      <c r="C34" s="438"/>
      <c r="D34" s="438"/>
      <c r="E34" s="438"/>
      <c r="F34" s="438"/>
      <c r="G34" s="438"/>
      <c r="H34" s="438"/>
      <c r="I34" s="438"/>
      <c r="J34" s="438"/>
      <c r="K34" s="438"/>
      <c r="L34" s="438"/>
      <c r="M34" s="438"/>
      <c r="N34" s="438"/>
      <c r="O34" s="438"/>
      <c r="P34" s="438"/>
      <c r="Q34" s="438"/>
      <c r="R34" s="438"/>
    </row>
    <row r="35" spans="2:18" s="384" customFormat="1" x14ac:dyDescent="0.3"/>
    <row r="36" spans="2:18" s="384" customFormat="1" x14ac:dyDescent="0.3">
      <c r="B36" s="384" t="s">
        <v>313</v>
      </c>
    </row>
    <row r="37" spans="2:18" s="384" customFormat="1" x14ac:dyDescent="0.3"/>
    <row r="38" spans="2:18" s="384" customFormat="1" x14ac:dyDescent="0.3"/>
    <row r="39" spans="2:18" s="384" customFormat="1" x14ac:dyDescent="0.3"/>
    <row r="40" spans="2:18" s="384" customFormat="1" x14ac:dyDescent="0.3"/>
    <row r="41" spans="2:18" s="384" customFormat="1" x14ac:dyDescent="0.3"/>
    <row r="42" spans="2:18" s="384" customFormat="1" x14ac:dyDescent="0.3"/>
    <row r="43" spans="2:18" s="384" customFormat="1" x14ac:dyDescent="0.3"/>
    <row r="44" spans="2:18" s="384" customFormat="1" x14ac:dyDescent="0.3"/>
    <row r="45" spans="2:18" s="384" customFormat="1" ht="4.2" customHeight="1" x14ac:dyDescent="0.3"/>
  </sheetData>
  <sheetProtection sheet="1" formatColumns="0" selectLockedCells="1"/>
  <mergeCells count="2">
    <mergeCell ref="B2:R2"/>
    <mergeCell ref="B3:R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4" tint="0.39997558519241921"/>
  </sheetPr>
  <dimension ref="B1:D18"/>
  <sheetViews>
    <sheetView showGridLines="0" zoomScale="90" zoomScaleNormal="90" workbookViewId="0">
      <selection activeCell="C5" sqref="C5"/>
    </sheetView>
  </sheetViews>
  <sheetFormatPr baseColWidth="10" defaultRowHeight="14.4" x14ac:dyDescent="0.3"/>
  <cols>
    <col min="1" max="1" width="4.21875" customWidth="1"/>
    <col min="2" max="2" width="68.5546875" customWidth="1"/>
    <col min="3" max="3" width="66.77734375" customWidth="1"/>
    <col min="4" max="4" width="20.5546875" customWidth="1"/>
  </cols>
  <sheetData>
    <row r="1" spans="2:4" s="20" customFormat="1" ht="15" thickBot="1" x14ac:dyDescent="0.35"/>
    <row r="2" spans="2:4" ht="39" customHeight="1" thickBot="1" x14ac:dyDescent="0.35">
      <c r="B2" s="534" t="s">
        <v>286</v>
      </c>
      <c r="C2" s="535"/>
      <c r="D2" s="536"/>
    </row>
    <row r="3" spans="2:4" ht="21" x14ac:dyDescent="0.3">
      <c r="B3" s="386" t="s">
        <v>138</v>
      </c>
      <c r="C3" s="387" t="s">
        <v>0</v>
      </c>
      <c r="D3" s="388" t="s">
        <v>1</v>
      </c>
    </row>
    <row r="4" spans="2:4" ht="18" x14ac:dyDescent="0.3">
      <c r="B4" s="24" t="s">
        <v>136</v>
      </c>
      <c r="C4" s="92"/>
      <c r="D4" s="94"/>
    </row>
    <row r="5" spans="2:4" ht="18" x14ac:dyDescent="0.3">
      <c r="B5" s="24" t="s">
        <v>137</v>
      </c>
      <c r="C5" s="92"/>
      <c r="D5" s="94"/>
    </row>
    <row r="6" spans="2:4" s="5" customFormat="1" ht="18" x14ac:dyDescent="0.3">
      <c r="B6" s="24" t="s">
        <v>139</v>
      </c>
      <c r="C6" s="92"/>
      <c r="D6" s="94"/>
    </row>
    <row r="7" spans="2:4" ht="18" x14ac:dyDescent="0.3">
      <c r="B7" s="24" t="s">
        <v>257</v>
      </c>
      <c r="C7" s="92"/>
      <c r="D7" s="94"/>
    </row>
    <row r="8" spans="2:4" ht="18" x14ac:dyDescent="0.3">
      <c r="B8" s="24" t="s">
        <v>140</v>
      </c>
      <c r="C8" s="93"/>
      <c r="D8" s="95"/>
    </row>
    <row r="9" spans="2:4" s="5" customFormat="1" ht="18.600000000000001" thickBot="1" x14ac:dyDescent="0.35">
      <c r="B9" s="25" t="s">
        <v>141</v>
      </c>
      <c r="C9" s="93"/>
      <c r="D9" s="95"/>
    </row>
    <row r="10" spans="2:4" ht="21.6" thickBot="1" x14ac:dyDescent="0.35">
      <c r="B10" s="389" t="s">
        <v>5</v>
      </c>
      <c r="C10" s="390"/>
      <c r="D10" s="391">
        <f>SUM(D4:D9)</f>
        <v>0</v>
      </c>
    </row>
    <row r="18" spans="3:3" x14ac:dyDescent="0.3">
      <c r="C18" s="436"/>
    </row>
  </sheetData>
  <sheetProtection sheet="1" formatColumns="0" selectLockedCells="1"/>
  <mergeCells count="1">
    <mergeCell ref="B2:D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9" tint="0.39997558519241921"/>
  </sheetPr>
  <dimension ref="A1:S104"/>
  <sheetViews>
    <sheetView showGridLines="0" zoomScale="90" zoomScaleNormal="90" workbookViewId="0">
      <selection activeCell="K9" sqref="K9"/>
    </sheetView>
  </sheetViews>
  <sheetFormatPr baseColWidth="10" defaultRowHeight="14.4" x14ac:dyDescent="0.3"/>
  <cols>
    <col min="1" max="1" width="0.44140625" customWidth="1"/>
    <col min="2" max="2" width="27.77734375" customWidth="1"/>
    <col min="3" max="3" width="30.5546875" bestFit="1" customWidth="1"/>
    <col min="4" max="4" width="23" style="5" customWidth="1"/>
    <col min="5" max="5" width="22.77734375" style="5" customWidth="1"/>
    <col min="6" max="6" width="68.5546875" style="5" customWidth="1"/>
    <col min="7" max="7" width="25.44140625" style="5" customWidth="1"/>
    <col min="8" max="8" width="31.44140625" customWidth="1"/>
    <col min="9" max="9" width="35.44140625" customWidth="1"/>
    <col min="10" max="10" width="44.6640625" customWidth="1"/>
    <col min="11" max="11" width="36.88671875" bestFit="1" customWidth="1"/>
    <col min="12" max="12" width="47.88671875" customWidth="1"/>
    <col min="13" max="13" width="17.44140625" customWidth="1"/>
    <col min="14" max="14" width="19.77734375" customWidth="1"/>
    <col min="15" max="15" width="19.44140625" customWidth="1"/>
    <col min="16" max="16" width="14.5546875" customWidth="1"/>
  </cols>
  <sheetData>
    <row r="1" spans="1:13" s="20" customFormat="1" ht="2.4" customHeight="1" thickBot="1" x14ac:dyDescent="0.35"/>
    <row r="2" spans="1:13" ht="33.6" customHeight="1" thickBot="1" x14ac:dyDescent="0.55000000000000004">
      <c r="A2" s="1"/>
      <c r="B2" s="537" t="s">
        <v>287</v>
      </c>
      <c r="C2" s="538"/>
      <c r="D2" s="538"/>
      <c r="E2" s="538"/>
      <c r="F2" s="538"/>
      <c r="G2" s="538"/>
      <c r="H2" s="538"/>
      <c r="I2" s="538"/>
      <c r="J2" s="538"/>
      <c r="K2" s="538"/>
      <c r="L2" s="539"/>
      <c r="M2" s="2"/>
    </row>
    <row r="3" spans="1:13" ht="18.600000000000001" thickBot="1" x14ac:dyDescent="0.35">
      <c r="B3" s="133" t="s">
        <v>6</v>
      </c>
      <c r="C3" s="133" t="s">
        <v>0</v>
      </c>
      <c r="D3" s="133" t="s">
        <v>1</v>
      </c>
      <c r="E3" s="133" t="s">
        <v>60</v>
      </c>
      <c r="F3" s="133" t="s">
        <v>68</v>
      </c>
      <c r="G3" s="134" t="s">
        <v>59</v>
      </c>
      <c r="H3" s="134" t="s">
        <v>57</v>
      </c>
      <c r="I3" s="448" t="s">
        <v>354</v>
      </c>
      <c r="J3" s="135" t="s">
        <v>276</v>
      </c>
      <c r="K3" s="136" t="s">
        <v>349</v>
      </c>
      <c r="L3" s="137" t="s">
        <v>350</v>
      </c>
    </row>
    <row r="4" spans="1:13" ht="16.2" thickBot="1" x14ac:dyDescent="0.35">
      <c r="B4" s="26" t="s">
        <v>3</v>
      </c>
      <c r="C4" s="82"/>
      <c r="D4" s="81"/>
      <c r="E4" s="27"/>
      <c r="F4" s="28">
        <f>$D4*$E4</f>
        <v>0</v>
      </c>
      <c r="G4" s="29"/>
      <c r="H4" s="30">
        <f>$F4*$G4</f>
        <v>0</v>
      </c>
      <c r="I4" s="449"/>
      <c r="J4" s="460">
        <f>Tableau1[[#This Row],[T de MS]]*Tableau1[[#This Row],[VEM/kg de MS]]*1000</f>
        <v>0</v>
      </c>
      <c r="K4" s="440"/>
      <c r="L4" s="462">
        <f>Tableau1[[#This Row],[g de DVE/kg de MS]]*Tableau1[[#This Row],[T de MS]]</f>
        <v>0</v>
      </c>
    </row>
    <row r="5" spans="1:13" ht="16.2" thickBot="1" x14ac:dyDescent="0.35">
      <c r="B5" s="31"/>
      <c r="C5" s="82"/>
      <c r="D5" s="82"/>
      <c r="E5" s="32"/>
      <c r="F5" s="33">
        <f>$D5*$E5</f>
        <v>0</v>
      </c>
      <c r="G5" s="34"/>
      <c r="H5" s="35">
        <f t="shared" ref="H5:H7" si="0">$F5*$G5</f>
        <v>0</v>
      </c>
      <c r="I5" s="450"/>
      <c r="J5" s="460">
        <f>Tableau1[[#This Row],[T de MS]]*Tableau1[[#This Row],[VEM/kg de MS]]*1000</f>
        <v>0</v>
      </c>
      <c r="K5" s="441"/>
      <c r="L5" s="462">
        <f>Tableau1[[#This Row],[g de DVE/kg de MS]]*Tableau1[[#This Row],[T de MS]]</f>
        <v>0</v>
      </c>
    </row>
    <row r="6" spans="1:13" ht="16.2" thickBot="1" x14ac:dyDescent="0.35">
      <c r="B6" s="31"/>
      <c r="C6" s="82"/>
      <c r="D6" s="82"/>
      <c r="E6" s="32"/>
      <c r="F6" s="33">
        <f>$D6*$E6</f>
        <v>0</v>
      </c>
      <c r="G6" s="34"/>
      <c r="H6" s="35">
        <f t="shared" si="0"/>
        <v>0</v>
      </c>
      <c r="I6" s="450"/>
      <c r="J6" s="460">
        <f>Tableau1[[#This Row],[T de MS]]*Tableau1[[#This Row],[VEM/kg de MS]]*1000</f>
        <v>0</v>
      </c>
      <c r="K6" s="441"/>
      <c r="L6" s="462">
        <f>Tableau1[[#This Row],[g de DVE/kg de MS]]*Tableau1[[#This Row],[T de MS]]</f>
        <v>0</v>
      </c>
    </row>
    <row r="7" spans="1:13" ht="16.2" thickBot="1" x14ac:dyDescent="0.35">
      <c r="B7" s="36"/>
      <c r="C7" s="473"/>
      <c r="D7" s="83"/>
      <c r="E7" s="37"/>
      <c r="F7" s="28">
        <f t="shared" ref="F7" si="1">$D7*$E7</f>
        <v>0</v>
      </c>
      <c r="G7" s="38"/>
      <c r="H7" s="39">
        <f t="shared" si="0"/>
        <v>0</v>
      </c>
      <c r="I7" s="451"/>
      <c r="J7" s="460">
        <f>Tableau1[[#This Row],[T de MS]]*Tableau1[[#This Row],[VEM/kg de MS]]*1000</f>
        <v>0</v>
      </c>
      <c r="K7" s="442"/>
      <c r="L7" s="462">
        <f>Tableau1[[#This Row],[g de DVE/kg de MS]]*Tableau1[[#This Row],[T de MS]]</f>
        <v>0</v>
      </c>
    </row>
    <row r="8" spans="1:13" ht="19.2" customHeight="1" thickBot="1" x14ac:dyDescent="0.35">
      <c r="B8" s="40" t="s">
        <v>142</v>
      </c>
      <c r="C8" s="88" t="s">
        <v>281</v>
      </c>
      <c r="D8" s="81"/>
      <c r="E8" s="41"/>
      <c r="F8" s="42">
        <f>$D8*$E8</f>
        <v>0</v>
      </c>
      <c r="G8" s="43"/>
      <c r="H8" s="44">
        <f t="shared" ref="H8:H81" si="2">$F8*$G8</f>
        <v>0</v>
      </c>
      <c r="I8" s="452"/>
      <c r="J8" s="460">
        <f>Tableau1[[#This Row],[T de MS]]*Tableau1[[#This Row],[VEM/kg de MS]]*1000</f>
        <v>0</v>
      </c>
      <c r="K8" s="443"/>
      <c r="L8" s="462">
        <f>Tableau1[[#This Row],[g de DVE/kg de MS]]*Tableau1[[#This Row],[T de MS]]</f>
        <v>0</v>
      </c>
    </row>
    <row r="9" spans="1:13" ht="19.05" customHeight="1" thickBot="1" x14ac:dyDescent="0.35">
      <c r="B9" s="45"/>
      <c r="C9" s="82" t="s">
        <v>282</v>
      </c>
      <c r="D9" s="82"/>
      <c r="E9" s="32"/>
      <c r="F9" s="46">
        <f>$D9*$E9</f>
        <v>0</v>
      </c>
      <c r="G9" s="34"/>
      <c r="H9" s="47">
        <f t="shared" si="2"/>
        <v>0</v>
      </c>
      <c r="I9" s="453"/>
      <c r="J9" s="460">
        <f>Tableau1[[#This Row],[T de MS]]*Tableau1[[#This Row],[VEM/kg de MS]]*1000</f>
        <v>0</v>
      </c>
      <c r="K9" s="441"/>
      <c r="L9" s="462">
        <f>Tableau1[[#This Row],[g de DVE/kg de MS]]*Tableau1[[#This Row],[T de MS]]</f>
        <v>0</v>
      </c>
    </row>
    <row r="10" spans="1:13" ht="18.600000000000001" customHeight="1" thickBot="1" x14ac:dyDescent="0.35">
      <c r="B10" s="45"/>
      <c r="C10" s="82" t="s">
        <v>283</v>
      </c>
      <c r="D10" s="82"/>
      <c r="E10" s="32"/>
      <c r="F10" s="46">
        <f t="shared" ref="F10:F28" si="3">$D10*$E10</f>
        <v>0</v>
      </c>
      <c r="G10" s="34"/>
      <c r="H10" s="47">
        <f t="shared" si="2"/>
        <v>0</v>
      </c>
      <c r="I10" s="453"/>
      <c r="J10" s="460">
        <f>Tableau1[[#This Row],[T de MS]]*Tableau1[[#This Row],[VEM/kg de MS]]*1000</f>
        <v>0</v>
      </c>
      <c r="K10" s="441"/>
      <c r="L10" s="462">
        <f>Tableau1[[#This Row],[g de DVE/kg de MS]]*Tableau1[[#This Row],[T de MS]]</f>
        <v>0</v>
      </c>
    </row>
    <row r="11" spans="1:13" ht="19.05" customHeight="1" thickBot="1" x14ac:dyDescent="0.35">
      <c r="B11" s="45"/>
      <c r="C11" s="82" t="s">
        <v>143</v>
      </c>
      <c r="D11" s="82"/>
      <c r="E11" s="32"/>
      <c r="F11" s="46">
        <f t="shared" si="3"/>
        <v>0</v>
      </c>
      <c r="G11" s="34"/>
      <c r="H11" s="47">
        <f t="shared" si="2"/>
        <v>0</v>
      </c>
      <c r="I11" s="453"/>
      <c r="J11" s="460">
        <f>Tableau1[[#This Row],[T de MS]]*Tableau1[[#This Row],[VEM/kg de MS]]*1000</f>
        <v>0</v>
      </c>
      <c r="K11" s="441"/>
      <c r="L11" s="462">
        <f>Tableau1[[#This Row],[g de DVE/kg de MS]]*Tableau1[[#This Row],[T de MS]]</f>
        <v>0</v>
      </c>
    </row>
    <row r="12" spans="1:13" ht="16.2" thickBot="1" x14ac:dyDescent="0.35">
      <c r="B12" s="48"/>
      <c r="C12" s="82" t="s">
        <v>144</v>
      </c>
      <c r="D12" s="83"/>
      <c r="E12" s="49"/>
      <c r="F12" s="50">
        <f t="shared" si="3"/>
        <v>0</v>
      </c>
      <c r="G12" s="51"/>
      <c r="H12" s="52">
        <f t="shared" si="2"/>
        <v>0</v>
      </c>
      <c r="I12" s="454"/>
      <c r="J12" s="460">
        <f>Tableau1[[#This Row],[T de MS]]*Tableau1[[#This Row],[VEM/kg de MS]]*1000</f>
        <v>0</v>
      </c>
      <c r="K12" s="444"/>
      <c r="L12" s="462">
        <f>Tableau1[[#This Row],[g de DVE/kg de MS]]*Tableau1[[#This Row],[T de MS]]</f>
        <v>0</v>
      </c>
    </row>
    <row r="13" spans="1:13" ht="16.2" thickBot="1" x14ac:dyDescent="0.35">
      <c r="B13" s="477" t="s">
        <v>305</v>
      </c>
      <c r="C13" s="478" t="s">
        <v>289</v>
      </c>
      <c r="D13" s="81"/>
      <c r="E13" s="41"/>
      <c r="F13" s="42">
        <f>$D13*$E13</f>
        <v>0</v>
      </c>
      <c r="G13" s="43"/>
      <c r="H13" s="54">
        <f t="shared" si="2"/>
        <v>0</v>
      </c>
      <c r="I13" s="452"/>
      <c r="J13" s="460">
        <f>Tableau1[[#This Row],[T de MS]]*Tableau1[[#This Row],[VEM/kg de MS]]*1000</f>
        <v>0</v>
      </c>
      <c r="K13" s="443"/>
      <c r="L13" s="462">
        <f>Tableau1[[#This Row],[g de DVE/kg de MS]]*Tableau1[[#This Row],[T de MS]]</f>
        <v>0</v>
      </c>
    </row>
    <row r="14" spans="1:13" ht="16.2" thickBot="1" x14ac:dyDescent="0.35">
      <c r="B14" s="26" t="str">
        <f>IF(B13="","",IF(B13="Choisir une céréale","",B13))</f>
        <v/>
      </c>
      <c r="C14" s="479" t="s">
        <v>120</v>
      </c>
      <c r="D14" s="84" t="str">
        <f>IF(D13="","",D13)</f>
        <v/>
      </c>
      <c r="E14" s="49"/>
      <c r="F14" s="55">
        <f>$D$13*$E14</f>
        <v>0</v>
      </c>
      <c r="G14" s="51"/>
      <c r="H14" s="52">
        <f t="shared" si="2"/>
        <v>0</v>
      </c>
      <c r="I14" s="454"/>
      <c r="J14" s="460">
        <f>Tableau1[[#This Row],[T de MS]]*Tableau1[[#This Row],[VEM/kg de MS]]*1000</f>
        <v>0</v>
      </c>
      <c r="K14" s="444"/>
      <c r="L14" s="462">
        <f>Tableau1[[#This Row],[g de DVE/kg de MS]]*Tableau1[[#This Row],[T de MS]]</f>
        <v>0</v>
      </c>
    </row>
    <row r="15" spans="1:13" s="5" customFormat="1" ht="16.2" thickBot="1" x14ac:dyDescent="0.35">
      <c r="B15" s="477" t="s">
        <v>305</v>
      </c>
      <c r="C15" s="478" t="s">
        <v>289</v>
      </c>
      <c r="D15" s="85"/>
      <c r="E15" s="41"/>
      <c r="F15" s="56">
        <f>$D15*$E15</f>
        <v>0</v>
      </c>
      <c r="G15" s="57"/>
      <c r="H15" s="44">
        <f t="shared" si="2"/>
        <v>0</v>
      </c>
      <c r="I15" s="455"/>
      <c r="J15" s="460">
        <f>Tableau1[[#This Row],[T de MS]]*Tableau1[[#This Row],[VEM/kg de MS]]*1000</f>
        <v>0</v>
      </c>
      <c r="K15" s="445"/>
      <c r="L15" s="462">
        <f>Tableau1[[#This Row],[g de DVE/kg de MS]]*Tableau1[[#This Row],[T de MS]]</f>
        <v>0</v>
      </c>
    </row>
    <row r="16" spans="1:13" s="5" customFormat="1" ht="16.2" thickBot="1" x14ac:dyDescent="0.35">
      <c r="B16" s="26" t="str">
        <f>IF(B15="","",IF(B15="Choisir une céréale","",B15))</f>
        <v/>
      </c>
      <c r="C16" s="479" t="s">
        <v>120</v>
      </c>
      <c r="D16" s="84" t="str">
        <f>IF(D15="","",D15)</f>
        <v/>
      </c>
      <c r="E16" s="49"/>
      <c r="F16" s="55">
        <f>$D$15*$E16</f>
        <v>0</v>
      </c>
      <c r="G16" s="51"/>
      <c r="H16" s="52">
        <f>$F16*$G16</f>
        <v>0</v>
      </c>
      <c r="I16" s="454"/>
      <c r="J16" s="460">
        <f>Tableau1[[#This Row],[T de MS]]*Tableau1[[#This Row],[VEM/kg de MS]]*1000</f>
        <v>0</v>
      </c>
      <c r="K16" s="444"/>
      <c r="L16" s="462">
        <f>Tableau1[[#This Row],[g de DVE/kg de MS]]*Tableau1[[#This Row],[T de MS]]</f>
        <v>0</v>
      </c>
    </row>
    <row r="17" spans="2:12" s="5" customFormat="1" ht="16.2" thickBot="1" x14ac:dyDescent="0.35">
      <c r="B17" s="477" t="s">
        <v>305</v>
      </c>
      <c r="C17" s="478" t="s">
        <v>289</v>
      </c>
      <c r="D17" s="85"/>
      <c r="E17" s="41"/>
      <c r="F17" s="58">
        <f>$D17*$E17</f>
        <v>0</v>
      </c>
      <c r="G17" s="59"/>
      <c r="H17" s="54">
        <f>$F17*$G17</f>
        <v>0</v>
      </c>
      <c r="I17" s="455"/>
      <c r="J17" s="460">
        <f>Tableau1[[#This Row],[T de MS]]*Tableau1[[#This Row],[VEM/kg de MS]]*1000</f>
        <v>0</v>
      </c>
      <c r="K17" s="445"/>
      <c r="L17" s="462">
        <f>Tableau1[[#This Row],[g de DVE/kg de MS]]*Tableau1[[#This Row],[T de MS]]</f>
        <v>0</v>
      </c>
    </row>
    <row r="18" spans="2:12" s="5" customFormat="1" ht="16.2" thickBot="1" x14ac:dyDescent="0.35">
      <c r="B18" s="26" t="str">
        <f>IF(B17="","",IF(B17="Choisir une céréale","",B17))</f>
        <v/>
      </c>
      <c r="C18" s="479" t="s">
        <v>120</v>
      </c>
      <c r="D18" s="86" t="str">
        <f>IF(D17="","",D17)</f>
        <v/>
      </c>
      <c r="E18" s="49"/>
      <c r="F18" s="60">
        <f>$D$17*Tableau1[[#This Row],[Rdmt (T/Ha)]]</f>
        <v>0</v>
      </c>
      <c r="G18" s="61"/>
      <c r="H18" s="52">
        <f>Tableau1[[#This Row],[Rdmt MF]]*Tableau1[[#This Row],[% MS]]</f>
        <v>0</v>
      </c>
      <c r="I18" s="454"/>
      <c r="J18" s="460">
        <f>Tableau1[[#This Row],[T de MS]]*Tableau1[[#This Row],[VEM/kg de MS]]*1000</f>
        <v>0</v>
      </c>
      <c r="K18" s="444"/>
      <c r="L18" s="462">
        <f>Tableau1[[#This Row],[g de DVE/kg de MS]]*Tableau1[[#This Row],[T de MS]]</f>
        <v>0</v>
      </c>
    </row>
    <row r="19" spans="2:12" s="5" customFormat="1" ht="16.2" thickBot="1" x14ac:dyDescent="0.35">
      <c r="B19" s="477" t="s">
        <v>305</v>
      </c>
      <c r="C19" s="478" t="s">
        <v>289</v>
      </c>
      <c r="D19" s="85"/>
      <c r="E19" s="62"/>
      <c r="F19" s="58">
        <f>Tableau1[[#This Row],[Superficie (Ha)]]*Tableau1[[#This Row],[Rdmt (T/Ha)]]</f>
        <v>0</v>
      </c>
      <c r="G19" s="63"/>
      <c r="H19" s="44">
        <f>Tableau1[[#This Row],[Rdmt MF]]*Tableau1[[#This Row],[% MS]]</f>
        <v>0</v>
      </c>
      <c r="I19" s="455"/>
      <c r="J19" s="460">
        <f>Tableau1[[#This Row],[T de MS]]*Tableau1[[#This Row],[VEM/kg de MS]]*1000</f>
        <v>0</v>
      </c>
      <c r="K19" s="445"/>
      <c r="L19" s="462">
        <f>Tableau1[[#This Row],[g de DVE/kg de MS]]*Tableau1[[#This Row],[T de MS]]</f>
        <v>0</v>
      </c>
    </row>
    <row r="20" spans="2:12" s="5" customFormat="1" ht="16.2" thickBot="1" x14ac:dyDescent="0.35">
      <c r="B20" s="26" t="str">
        <f>IF(B19="","",IF(B19="Choisir une céréale","",B19))</f>
        <v/>
      </c>
      <c r="C20" s="479" t="s">
        <v>120</v>
      </c>
      <c r="D20" s="84" t="str">
        <f>IF(D19="","",D19)</f>
        <v/>
      </c>
      <c r="E20" s="64"/>
      <c r="F20" s="60">
        <f>$D$19*Tableau1[[#This Row],[Rdmt (T/Ha)]]</f>
        <v>0</v>
      </c>
      <c r="G20" s="61"/>
      <c r="H20" s="52">
        <f>Tableau1[[#This Row],[Rdmt MF]]*Tableau1[[#This Row],[% MS]]</f>
        <v>0</v>
      </c>
      <c r="I20" s="454"/>
      <c r="J20" s="460">
        <f>Tableau1[[#This Row],[T de MS]]*Tableau1[[#This Row],[VEM/kg de MS]]*1000</f>
        <v>0</v>
      </c>
      <c r="K20" s="444"/>
      <c r="L20" s="462">
        <f>Tableau1[[#This Row],[g de DVE/kg de MS]]*Tableau1[[#This Row],[T de MS]]</f>
        <v>0</v>
      </c>
    </row>
    <row r="21" spans="2:12" s="5" customFormat="1" ht="16.2" thickBot="1" x14ac:dyDescent="0.35">
      <c r="B21" s="477" t="s">
        <v>305</v>
      </c>
      <c r="C21" s="478" t="s">
        <v>289</v>
      </c>
      <c r="D21" s="85"/>
      <c r="E21" s="62"/>
      <c r="F21" s="58">
        <f>Tableau1[[#This Row],[Superficie (Ha)]]*Tableau1[[#This Row],[Rdmt (T/Ha)]]</f>
        <v>0</v>
      </c>
      <c r="G21" s="63"/>
      <c r="H21" s="44">
        <f>Tableau1[[#This Row],[Rdmt MF]]*Tableau1[[#This Row],[% MS]]</f>
        <v>0</v>
      </c>
      <c r="I21" s="455"/>
      <c r="J21" s="460">
        <f>Tableau1[[#This Row],[T de MS]]*Tableau1[[#This Row],[VEM/kg de MS]]*1000</f>
        <v>0</v>
      </c>
      <c r="K21" s="445"/>
      <c r="L21" s="462">
        <f>Tableau1[[#This Row],[g de DVE/kg de MS]]*Tableau1[[#This Row],[T de MS]]</f>
        <v>0</v>
      </c>
    </row>
    <row r="22" spans="2:12" ht="16.2" thickBot="1" x14ac:dyDescent="0.35">
      <c r="B22" s="26" t="str">
        <f>IF(B21="","",IF(B21="Choisir une céréale","",B21))</f>
        <v/>
      </c>
      <c r="C22" s="479" t="s">
        <v>120</v>
      </c>
      <c r="D22" s="84" t="str">
        <f>IF(D21="","",D21)</f>
        <v/>
      </c>
      <c r="E22" s="64"/>
      <c r="F22" s="60">
        <f>$D$21*Tableau1[[#This Row],[Rdmt (T/Ha)]]</f>
        <v>0</v>
      </c>
      <c r="G22" s="61"/>
      <c r="H22" s="52">
        <f>Tableau1[[#This Row],[Rdmt MF]]*Tableau1[[#This Row],[% MS]]</f>
        <v>0</v>
      </c>
      <c r="I22" s="454"/>
      <c r="J22" s="460">
        <f>Tableau1[[#This Row],[T de MS]]*Tableau1[[#This Row],[VEM/kg de MS]]*1000</f>
        <v>0</v>
      </c>
      <c r="K22" s="444"/>
      <c r="L22" s="462">
        <f>Tableau1[[#This Row],[g de DVE/kg de MS]]*Tableau1[[#This Row],[T de MS]]</f>
        <v>0</v>
      </c>
    </row>
    <row r="23" spans="2:12" ht="16.2" thickBot="1" x14ac:dyDescent="0.35">
      <c r="B23" s="477" t="s">
        <v>305</v>
      </c>
      <c r="C23" s="478" t="s">
        <v>289</v>
      </c>
      <c r="D23" s="85"/>
      <c r="E23" s="62"/>
      <c r="F23" s="58">
        <f>Tableau1[[#This Row],[Superficie (Ha)]]*Tableau1[[#This Row],[Rdmt (T/Ha)]]</f>
        <v>0</v>
      </c>
      <c r="G23" s="63"/>
      <c r="H23" s="44">
        <f>Tableau1[[#This Row],[Rdmt MF]]*Tableau1[[#This Row],[% MS]]</f>
        <v>0</v>
      </c>
      <c r="I23" s="455"/>
      <c r="J23" s="460">
        <f>Tableau1[[#This Row],[T de MS]]*Tableau1[[#This Row],[VEM/kg de MS]]*1000</f>
        <v>0</v>
      </c>
      <c r="K23" s="445"/>
      <c r="L23" s="462">
        <f>Tableau1[[#This Row],[g de DVE/kg de MS]]*Tableau1[[#This Row],[T de MS]]</f>
        <v>0</v>
      </c>
    </row>
    <row r="24" spans="2:12" ht="16.2" thickBot="1" x14ac:dyDescent="0.35">
      <c r="B24" s="26" t="str">
        <f>IF(B23="","",IF(B23="Choisir une céréale","",B23))</f>
        <v/>
      </c>
      <c r="C24" s="480" t="s">
        <v>120</v>
      </c>
      <c r="D24" s="87" t="str">
        <f>IF(D23="","",D23)</f>
        <v/>
      </c>
      <c r="E24" s="37"/>
      <c r="F24" s="60">
        <f>$D$23*Tableau1[[#This Row],[Rdmt (T/Ha)]]</f>
        <v>0</v>
      </c>
      <c r="G24" s="65"/>
      <c r="H24" s="66">
        <f>Tableau1[[#This Row],[Rdmt MF]]*Tableau1[[#This Row],[% MS]]</f>
        <v>0</v>
      </c>
      <c r="I24" s="456"/>
      <c r="J24" s="460">
        <f>Tableau1[[#This Row],[T de MS]]*Tableau1[[#This Row],[VEM/kg de MS]]*1000</f>
        <v>0</v>
      </c>
      <c r="K24" s="442"/>
      <c r="L24" s="462">
        <f>Tableau1[[#This Row],[g de DVE/kg de MS]]*Tableau1[[#This Row],[T de MS]]</f>
        <v>0</v>
      </c>
    </row>
    <row r="25" spans="2:12" ht="16.2" thickBot="1" x14ac:dyDescent="0.35">
      <c r="B25" s="53" t="s">
        <v>145</v>
      </c>
      <c r="C25" s="88"/>
      <c r="D25" s="88"/>
      <c r="E25" s="67"/>
      <c r="F25" s="58">
        <f t="shared" si="3"/>
        <v>0</v>
      </c>
      <c r="G25" s="59"/>
      <c r="H25" s="54">
        <f t="shared" si="2"/>
        <v>0</v>
      </c>
      <c r="I25" s="452"/>
      <c r="J25" s="460">
        <f>Tableau1[[#This Row],[T de MS]]*Tableau1[[#This Row],[VEM/kg de MS]]*1000</f>
        <v>0</v>
      </c>
      <c r="K25" s="443"/>
      <c r="L25" s="462">
        <f>Tableau1[[#This Row],[g de DVE/kg de MS]]*Tableau1[[#This Row],[T de MS]]</f>
        <v>0</v>
      </c>
    </row>
    <row r="26" spans="2:12" ht="16.2" thickBot="1" x14ac:dyDescent="0.35">
      <c r="B26" s="31"/>
      <c r="C26" s="82"/>
      <c r="D26" s="82"/>
      <c r="E26" s="32"/>
      <c r="F26" s="33">
        <f>$D26*$E26</f>
        <v>0</v>
      </c>
      <c r="G26" s="68"/>
      <c r="H26" s="47">
        <f t="shared" si="2"/>
        <v>0</v>
      </c>
      <c r="I26" s="453"/>
      <c r="J26" s="460">
        <f>Tableau1[[#This Row],[T de MS]]*Tableau1[[#This Row],[VEM/kg de MS]]*1000</f>
        <v>0</v>
      </c>
      <c r="K26" s="441"/>
      <c r="L26" s="462">
        <f>Tableau1[[#This Row],[g de DVE/kg de MS]]*Tableau1[[#This Row],[T de MS]]</f>
        <v>0</v>
      </c>
    </row>
    <row r="27" spans="2:12" ht="16.2" thickBot="1" x14ac:dyDescent="0.35">
      <c r="B27" s="31"/>
      <c r="C27" s="82"/>
      <c r="D27" s="82"/>
      <c r="E27" s="32"/>
      <c r="F27" s="33">
        <f>$D27*$E27</f>
        <v>0</v>
      </c>
      <c r="G27" s="68"/>
      <c r="H27" s="47">
        <f t="shared" si="2"/>
        <v>0</v>
      </c>
      <c r="I27" s="453"/>
      <c r="J27" s="460">
        <f>Tableau1[[#This Row],[T de MS]]*Tableau1[[#This Row],[VEM/kg de MS]]*1000</f>
        <v>0</v>
      </c>
      <c r="K27" s="441"/>
      <c r="L27" s="462">
        <f>Tableau1[[#This Row],[g de DVE/kg de MS]]*Tableau1[[#This Row],[T de MS]]</f>
        <v>0</v>
      </c>
    </row>
    <row r="28" spans="2:12" ht="16.2" thickBot="1" x14ac:dyDescent="0.35">
      <c r="B28" s="48"/>
      <c r="C28" s="89"/>
      <c r="D28" s="89"/>
      <c r="E28" s="49"/>
      <c r="F28" s="60">
        <f t="shared" si="3"/>
        <v>0</v>
      </c>
      <c r="G28" s="61"/>
      <c r="H28" s="52">
        <f t="shared" si="2"/>
        <v>0</v>
      </c>
      <c r="I28" s="454"/>
      <c r="J28" s="460">
        <f>Tableau1[[#This Row],[T de MS]]*Tableau1[[#This Row],[VEM/kg de MS]]*1000</f>
        <v>0</v>
      </c>
      <c r="K28" s="444"/>
      <c r="L28" s="462">
        <f>Tableau1[[#This Row],[g de DVE/kg de MS]]*Tableau1[[#This Row],[T de MS]]</f>
        <v>0</v>
      </c>
    </row>
    <row r="29" spans="2:12" ht="16.2" thickBot="1" x14ac:dyDescent="0.35">
      <c r="B29" s="69" t="s">
        <v>7</v>
      </c>
      <c r="C29" s="482" t="s">
        <v>11</v>
      </c>
      <c r="D29" s="90"/>
      <c r="E29" s="62"/>
      <c r="F29" s="70">
        <f>$D$29*$E29</f>
        <v>0</v>
      </c>
      <c r="G29" s="57"/>
      <c r="H29" s="44">
        <f t="shared" si="2"/>
        <v>0</v>
      </c>
      <c r="I29" s="455"/>
      <c r="J29" s="460">
        <f>Tableau1[[#This Row],[T de MS]]*Tableau1[[#This Row],[VEM/kg de MS]]*1000</f>
        <v>0</v>
      </c>
      <c r="K29" s="445"/>
      <c r="L29" s="462">
        <f>Tableau1[[#This Row],[g de DVE/kg de MS]]*Tableau1[[#This Row],[T de MS]]</f>
        <v>0</v>
      </c>
    </row>
    <row r="30" spans="2:12" ht="16.2" thickBot="1" x14ac:dyDescent="0.35">
      <c r="B30" s="31"/>
      <c r="C30" s="483" t="s">
        <v>12</v>
      </c>
      <c r="D30" s="474" t="str">
        <f>IF(D29="","",D29)</f>
        <v/>
      </c>
      <c r="E30" s="71"/>
      <c r="F30" s="35">
        <f t="shared" ref="F30:F33" si="4">$D$29*$E30</f>
        <v>0</v>
      </c>
      <c r="G30" s="34"/>
      <c r="H30" s="47">
        <f t="shared" si="2"/>
        <v>0</v>
      </c>
      <c r="I30" s="453"/>
      <c r="J30" s="460">
        <f>Tableau1[[#This Row],[T de MS]]*Tableau1[[#This Row],[VEM/kg de MS]]*1000</f>
        <v>0</v>
      </c>
      <c r="K30" s="441"/>
      <c r="L30" s="462">
        <f>Tableau1[[#This Row],[g de DVE/kg de MS]]*Tableau1[[#This Row],[T de MS]]</f>
        <v>0</v>
      </c>
    </row>
    <row r="31" spans="2:12" ht="16.2" thickBot="1" x14ac:dyDescent="0.35">
      <c r="B31" s="31"/>
      <c r="C31" s="483" t="s">
        <v>13</v>
      </c>
      <c r="D31" s="474" t="str">
        <f t="shared" ref="D31:D33" si="5">D30</f>
        <v/>
      </c>
      <c r="E31" s="71"/>
      <c r="F31" s="35">
        <f t="shared" si="4"/>
        <v>0</v>
      </c>
      <c r="G31" s="34"/>
      <c r="H31" s="47">
        <f t="shared" si="2"/>
        <v>0</v>
      </c>
      <c r="I31" s="453"/>
      <c r="J31" s="460">
        <f>Tableau1[[#This Row],[T de MS]]*Tableau1[[#This Row],[VEM/kg de MS]]*1000</f>
        <v>0</v>
      </c>
      <c r="K31" s="441"/>
      <c r="L31" s="462">
        <f>Tableau1[[#This Row],[g de DVE/kg de MS]]*Tableau1[[#This Row],[T de MS]]</f>
        <v>0</v>
      </c>
    </row>
    <row r="32" spans="2:12" ht="16.2" thickBot="1" x14ac:dyDescent="0.35">
      <c r="B32" s="31"/>
      <c r="C32" s="483" t="s">
        <v>14</v>
      </c>
      <c r="D32" s="474" t="str">
        <f t="shared" si="5"/>
        <v/>
      </c>
      <c r="E32" s="71"/>
      <c r="F32" s="35">
        <f t="shared" si="4"/>
        <v>0</v>
      </c>
      <c r="G32" s="34"/>
      <c r="H32" s="47">
        <f t="shared" si="2"/>
        <v>0</v>
      </c>
      <c r="I32" s="453"/>
      <c r="J32" s="460">
        <f>Tableau1[[#This Row],[T de MS]]*Tableau1[[#This Row],[VEM/kg de MS]]*1000</f>
        <v>0</v>
      </c>
      <c r="K32" s="441"/>
      <c r="L32" s="462">
        <f>Tableau1[[#This Row],[g de DVE/kg de MS]]*Tableau1[[#This Row],[T de MS]]</f>
        <v>0</v>
      </c>
    </row>
    <row r="33" spans="2:12" ht="16.2" thickBot="1" x14ac:dyDescent="0.35">
      <c r="B33" s="48"/>
      <c r="C33" s="484" t="s">
        <v>15</v>
      </c>
      <c r="D33" s="474" t="str">
        <f t="shared" si="5"/>
        <v/>
      </c>
      <c r="E33" s="64"/>
      <c r="F33" s="72">
        <f t="shared" si="4"/>
        <v>0</v>
      </c>
      <c r="G33" s="51"/>
      <c r="H33" s="52">
        <f t="shared" si="2"/>
        <v>0</v>
      </c>
      <c r="I33" s="454"/>
      <c r="J33" s="460">
        <f>Tableau1[[#This Row],[T de MS]]*Tableau1[[#This Row],[VEM/kg de MS]]*1000</f>
        <v>0</v>
      </c>
      <c r="K33" s="444"/>
      <c r="L33" s="462">
        <f>Tableau1[[#This Row],[g de DVE/kg de MS]]*Tableau1[[#This Row],[T de MS]]</f>
        <v>0</v>
      </c>
    </row>
    <row r="34" spans="2:12" ht="16.2" thickBot="1" x14ac:dyDescent="0.35">
      <c r="B34" s="53" t="s">
        <v>8</v>
      </c>
      <c r="C34" s="485" t="s">
        <v>11</v>
      </c>
      <c r="D34" s="91"/>
      <c r="E34" s="73"/>
      <c r="F34" s="30">
        <f>$D$34*$E34</f>
        <v>0</v>
      </c>
      <c r="G34" s="43"/>
      <c r="H34" s="54">
        <f t="shared" si="2"/>
        <v>0</v>
      </c>
      <c r="I34" s="452"/>
      <c r="J34" s="460">
        <f>Tableau1[[#This Row],[T de MS]]*Tableau1[[#This Row],[VEM/kg de MS]]*1000</f>
        <v>0</v>
      </c>
      <c r="K34" s="443"/>
      <c r="L34" s="462">
        <f>Tableau1[[#This Row],[g de DVE/kg de MS]]*Tableau1[[#This Row],[T de MS]]</f>
        <v>0</v>
      </c>
    </row>
    <row r="35" spans="2:12" ht="16.2" thickBot="1" x14ac:dyDescent="0.35">
      <c r="B35" s="31"/>
      <c r="C35" s="483" t="s">
        <v>12</v>
      </c>
      <c r="D35" s="475" t="str">
        <f>IF(D34="","",D34)</f>
        <v/>
      </c>
      <c r="E35" s="71"/>
      <c r="F35" s="35">
        <f>$D$34*$E35</f>
        <v>0</v>
      </c>
      <c r="G35" s="34"/>
      <c r="H35" s="47">
        <f t="shared" si="2"/>
        <v>0</v>
      </c>
      <c r="I35" s="453"/>
      <c r="J35" s="460">
        <f>Tableau1[[#This Row],[T de MS]]*Tableau1[[#This Row],[VEM/kg de MS]]*1000</f>
        <v>0</v>
      </c>
      <c r="K35" s="441"/>
      <c r="L35" s="462">
        <f>Tableau1[[#This Row],[g de DVE/kg de MS]]*Tableau1[[#This Row],[T de MS]]</f>
        <v>0</v>
      </c>
    </row>
    <row r="36" spans="2:12" ht="16.2" thickBot="1" x14ac:dyDescent="0.35">
      <c r="B36" s="31"/>
      <c r="C36" s="483" t="s">
        <v>13</v>
      </c>
      <c r="D36" s="475" t="str">
        <f t="shared" ref="D36:D38" si="6">IF(D35="","",D35)</f>
        <v/>
      </c>
      <c r="E36" s="71"/>
      <c r="F36" s="35">
        <f t="shared" ref="F36:F38" si="7">$D$34*$E36</f>
        <v>0</v>
      </c>
      <c r="G36" s="34"/>
      <c r="H36" s="47">
        <f t="shared" si="2"/>
        <v>0</v>
      </c>
      <c r="I36" s="453"/>
      <c r="J36" s="460">
        <f>Tableau1[[#This Row],[T de MS]]*Tableau1[[#This Row],[VEM/kg de MS]]*1000</f>
        <v>0</v>
      </c>
      <c r="K36" s="441"/>
      <c r="L36" s="462">
        <f>Tableau1[[#This Row],[g de DVE/kg de MS]]*Tableau1[[#This Row],[T de MS]]</f>
        <v>0</v>
      </c>
    </row>
    <row r="37" spans="2:12" ht="16.2" thickBot="1" x14ac:dyDescent="0.35">
      <c r="B37" s="31"/>
      <c r="C37" s="483" t="s">
        <v>14</v>
      </c>
      <c r="D37" s="475" t="str">
        <f t="shared" si="6"/>
        <v/>
      </c>
      <c r="E37" s="71"/>
      <c r="F37" s="35">
        <f t="shared" si="7"/>
        <v>0</v>
      </c>
      <c r="G37" s="34"/>
      <c r="H37" s="47">
        <f t="shared" si="2"/>
        <v>0</v>
      </c>
      <c r="I37" s="453"/>
      <c r="J37" s="460">
        <f>Tableau1[[#This Row],[T de MS]]*Tableau1[[#This Row],[VEM/kg de MS]]*1000</f>
        <v>0</v>
      </c>
      <c r="K37" s="441"/>
      <c r="L37" s="462">
        <f>Tableau1[[#This Row],[g de DVE/kg de MS]]*Tableau1[[#This Row],[T de MS]]</f>
        <v>0</v>
      </c>
    </row>
    <row r="38" spans="2:12" ht="16.2" thickBot="1" x14ac:dyDescent="0.35">
      <c r="B38" s="48"/>
      <c r="C38" s="484" t="s">
        <v>15</v>
      </c>
      <c r="D38" s="475" t="str">
        <f t="shared" si="6"/>
        <v/>
      </c>
      <c r="E38" s="64"/>
      <c r="F38" s="72">
        <f t="shared" si="7"/>
        <v>0</v>
      </c>
      <c r="G38" s="51"/>
      <c r="H38" s="52">
        <f t="shared" si="2"/>
        <v>0</v>
      </c>
      <c r="I38" s="454"/>
      <c r="J38" s="460">
        <f>Tableau1[[#This Row],[T de MS]]*Tableau1[[#This Row],[VEM/kg de MS]]*1000</f>
        <v>0</v>
      </c>
      <c r="K38" s="444"/>
      <c r="L38" s="462">
        <f>Tableau1[[#This Row],[g de DVE/kg de MS]]*Tableau1[[#This Row],[T de MS]]</f>
        <v>0</v>
      </c>
    </row>
    <row r="39" spans="2:12" ht="16.2" thickBot="1" x14ac:dyDescent="0.35">
      <c r="B39" s="53" t="s">
        <v>16</v>
      </c>
      <c r="C39" s="485" t="s">
        <v>11</v>
      </c>
      <c r="D39" s="91"/>
      <c r="E39" s="73"/>
      <c r="F39" s="30">
        <f>$D$39*$E39</f>
        <v>0</v>
      </c>
      <c r="G39" s="43"/>
      <c r="H39" s="54">
        <f t="shared" si="2"/>
        <v>0</v>
      </c>
      <c r="I39" s="452"/>
      <c r="J39" s="460">
        <f>Tableau1[[#This Row],[T de MS]]*Tableau1[[#This Row],[VEM/kg de MS]]*1000</f>
        <v>0</v>
      </c>
      <c r="K39" s="443"/>
      <c r="L39" s="462">
        <f>Tableau1[[#This Row],[g de DVE/kg de MS]]*Tableau1[[#This Row],[T de MS]]</f>
        <v>0</v>
      </c>
    </row>
    <row r="40" spans="2:12" ht="16.2" thickBot="1" x14ac:dyDescent="0.35">
      <c r="B40" s="31"/>
      <c r="C40" s="483" t="s">
        <v>12</v>
      </c>
      <c r="D40" s="475" t="str">
        <f>IF(D39="","",D39)</f>
        <v/>
      </c>
      <c r="E40" s="71"/>
      <c r="F40" s="35">
        <f>$D$39*$E40</f>
        <v>0</v>
      </c>
      <c r="G40" s="34"/>
      <c r="H40" s="47">
        <f t="shared" si="2"/>
        <v>0</v>
      </c>
      <c r="I40" s="453"/>
      <c r="J40" s="460">
        <f>Tableau1[[#This Row],[T de MS]]*Tableau1[[#This Row],[VEM/kg de MS]]*1000</f>
        <v>0</v>
      </c>
      <c r="K40" s="441"/>
      <c r="L40" s="462">
        <f>Tableau1[[#This Row],[g de DVE/kg de MS]]*Tableau1[[#This Row],[T de MS]]</f>
        <v>0</v>
      </c>
    </row>
    <row r="41" spans="2:12" ht="16.2" thickBot="1" x14ac:dyDescent="0.35">
      <c r="B41" s="31"/>
      <c r="C41" s="483" t="s">
        <v>13</v>
      </c>
      <c r="D41" s="475" t="str">
        <f t="shared" ref="D41:D43" si="8">IF(D40="","",D40)</f>
        <v/>
      </c>
      <c r="E41" s="71"/>
      <c r="F41" s="35">
        <f>$D$39*$E41</f>
        <v>0</v>
      </c>
      <c r="G41" s="34"/>
      <c r="H41" s="47">
        <f t="shared" si="2"/>
        <v>0</v>
      </c>
      <c r="I41" s="453"/>
      <c r="J41" s="460">
        <f>Tableau1[[#This Row],[T de MS]]*Tableau1[[#This Row],[VEM/kg de MS]]*1000</f>
        <v>0</v>
      </c>
      <c r="K41" s="441"/>
      <c r="L41" s="462">
        <f>Tableau1[[#This Row],[g de DVE/kg de MS]]*Tableau1[[#This Row],[T de MS]]</f>
        <v>0</v>
      </c>
    </row>
    <row r="42" spans="2:12" ht="16.2" thickBot="1" x14ac:dyDescent="0.35">
      <c r="B42" s="31"/>
      <c r="C42" s="483" t="s">
        <v>14</v>
      </c>
      <c r="D42" s="475" t="str">
        <f t="shared" si="8"/>
        <v/>
      </c>
      <c r="E42" s="71"/>
      <c r="F42" s="35">
        <f>$D$39*$E42</f>
        <v>0</v>
      </c>
      <c r="G42" s="34"/>
      <c r="H42" s="47">
        <f t="shared" si="2"/>
        <v>0</v>
      </c>
      <c r="I42" s="453"/>
      <c r="J42" s="460">
        <f>Tableau1[[#This Row],[T de MS]]*Tableau1[[#This Row],[VEM/kg de MS]]*1000</f>
        <v>0</v>
      </c>
      <c r="K42" s="441"/>
      <c r="L42" s="462">
        <f>Tableau1[[#This Row],[g de DVE/kg de MS]]*Tableau1[[#This Row],[T de MS]]</f>
        <v>0</v>
      </c>
    </row>
    <row r="43" spans="2:12" ht="16.2" thickBot="1" x14ac:dyDescent="0.35">
      <c r="B43" s="48"/>
      <c r="C43" s="484" t="s">
        <v>15</v>
      </c>
      <c r="D43" s="475" t="str">
        <f t="shared" si="8"/>
        <v/>
      </c>
      <c r="E43" s="64"/>
      <c r="F43" s="72">
        <f>$D$39*$E43</f>
        <v>0</v>
      </c>
      <c r="G43" s="51"/>
      <c r="H43" s="52">
        <f t="shared" si="2"/>
        <v>0</v>
      </c>
      <c r="I43" s="454"/>
      <c r="J43" s="460">
        <f>Tableau1[[#This Row],[T de MS]]*Tableau1[[#This Row],[VEM/kg de MS]]*1000</f>
        <v>0</v>
      </c>
      <c r="K43" s="444"/>
      <c r="L43" s="462">
        <f>Tableau1[[#This Row],[g de DVE/kg de MS]]*Tableau1[[#This Row],[T de MS]]</f>
        <v>0</v>
      </c>
    </row>
    <row r="44" spans="2:12" ht="16.2" thickBot="1" x14ac:dyDescent="0.35">
      <c r="B44" s="53" t="s">
        <v>9</v>
      </c>
      <c r="C44" s="485" t="s">
        <v>11</v>
      </c>
      <c r="D44" s="91"/>
      <c r="E44" s="73"/>
      <c r="F44" s="30">
        <f>$D$44*$E44</f>
        <v>0</v>
      </c>
      <c r="G44" s="43"/>
      <c r="H44" s="54">
        <f t="shared" si="2"/>
        <v>0</v>
      </c>
      <c r="I44" s="452"/>
      <c r="J44" s="460">
        <f>Tableau1[[#This Row],[T de MS]]*Tableau1[[#This Row],[VEM/kg de MS]]*1000</f>
        <v>0</v>
      </c>
      <c r="K44" s="443"/>
      <c r="L44" s="462">
        <f>Tableau1[[#This Row],[g de DVE/kg de MS]]*Tableau1[[#This Row],[T de MS]]</f>
        <v>0</v>
      </c>
    </row>
    <row r="45" spans="2:12" ht="16.2" thickBot="1" x14ac:dyDescent="0.35">
      <c r="B45" s="31"/>
      <c r="C45" s="483" t="s">
        <v>12</v>
      </c>
      <c r="D45" s="475" t="str">
        <f>IF(D44="","",D44)</f>
        <v/>
      </c>
      <c r="E45" s="71"/>
      <c r="F45" s="35">
        <f t="shared" ref="F45:F48" si="9">$D$44*$E45</f>
        <v>0</v>
      </c>
      <c r="G45" s="34"/>
      <c r="H45" s="47">
        <f t="shared" si="2"/>
        <v>0</v>
      </c>
      <c r="I45" s="453"/>
      <c r="J45" s="460">
        <f>Tableau1[[#This Row],[T de MS]]*Tableau1[[#This Row],[VEM/kg de MS]]*1000</f>
        <v>0</v>
      </c>
      <c r="K45" s="441"/>
      <c r="L45" s="462">
        <f>Tableau1[[#This Row],[g de DVE/kg de MS]]*Tableau1[[#This Row],[T de MS]]</f>
        <v>0</v>
      </c>
    </row>
    <row r="46" spans="2:12" ht="16.2" thickBot="1" x14ac:dyDescent="0.35">
      <c r="B46" s="31"/>
      <c r="C46" s="483" t="s">
        <v>13</v>
      </c>
      <c r="D46" s="475" t="str">
        <f t="shared" ref="D46:D48" si="10">IF(D45="","",D45)</f>
        <v/>
      </c>
      <c r="E46" s="71"/>
      <c r="F46" s="35">
        <f t="shared" si="9"/>
        <v>0</v>
      </c>
      <c r="G46" s="34"/>
      <c r="H46" s="47">
        <f t="shared" si="2"/>
        <v>0</v>
      </c>
      <c r="I46" s="453"/>
      <c r="J46" s="460">
        <f>Tableau1[[#This Row],[T de MS]]*Tableau1[[#This Row],[VEM/kg de MS]]*1000</f>
        <v>0</v>
      </c>
      <c r="K46" s="441"/>
      <c r="L46" s="462">
        <f>Tableau1[[#This Row],[g de DVE/kg de MS]]*Tableau1[[#This Row],[T de MS]]</f>
        <v>0</v>
      </c>
    </row>
    <row r="47" spans="2:12" ht="16.2" thickBot="1" x14ac:dyDescent="0.35">
      <c r="B47" s="31"/>
      <c r="C47" s="483" t="s">
        <v>14</v>
      </c>
      <c r="D47" s="475" t="str">
        <f t="shared" si="10"/>
        <v/>
      </c>
      <c r="E47" s="71"/>
      <c r="F47" s="35">
        <f t="shared" si="9"/>
        <v>0</v>
      </c>
      <c r="G47" s="34"/>
      <c r="H47" s="47">
        <f t="shared" si="2"/>
        <v>0</v>
      </c>
      <c r="I47" s="453"/>
      <c r="J47" s="460">
        <f>Tableau1[[#This Row],[T de MS]]*Tableau1[[#This Row],[VEM/kg de MS]]*1000</f>
        <v>0</v>
      </c>
      <c r="K47" s="441"/>
      <c r="L47" s="462">
        <f>Tableau1[[#This Row],[g de DVE/kg de MS]]*Tableau1[[#This Row],[T de MS]]</f>
        <v>0</v>
      </c>
    </row>
    <row r="48" spans="2:12" ht="16.2" thickBot="1" x14ac:dyDescent="0.35">
      <c r="B48" s="48"/>
      <c r="C48" s="484" t="s">
        <v>15</v>
      </c>
      <c r="D48" s="475" t="str">
        <f t="shared" si="10"/>
        <v/>
      </c>
      <c r="E48" s="64"/>
      <c r="F48" s="72">
        <f t="shared" si="9"/>
        <v>0</v>
      </c>
      <c r="G48" s="51"/>
      <c r="H48" s="52">
        <f t="shared" si="2"/>
        <v>0</v>
      </c>
      <c r="I48" s="454"/>
      <c r="J48" s="460">
        <f>Tableau1[[#This Row],[T de MS]]*Tableau1[[#This Row],[VEM/kg de MS]]*1000</f>
        <v>0</v>
      </c>
      <c r="K48" s="444"/>
      <c r="L48" s="462">
        <f>Tableau1[[#This Row],[g de DVE/kg de MS]]*Tableau1[[#This Row],[T de MS]]</f>
        <v>0</v>
      </c>
    </row>
    <row r="49" spans="2:12" ht="16.2" thickBot="1" x14ac:dyDescent="0.35">
      <c r="B49" s="53" t="s">
        <v>10</v>
      </c>
      <c r="C49" s="485" t="s">
        <v>11</v>
      </c>
      <c r="D49" s="91"/>
      <c r="E49" s="73"/>
      <c r="F49" s="30">
        <f>$D$49*$E49</f>
        <v>0</v>
      </c>
      <c r="G49" s="43"/>
      <c r="H49" s="54">
        <f t="shared" si="2"/>
        <v>0</v>
      </c>
      <c r="I49" s="452"/>
      <c r="J49" s="460">
        <f>Tableau1[[#This Row],[T de MS]]*Tableau1[[#This Row],[VEM/kg de MS]]*1000</f>
        <v>0</v>
      </c>
      <c r="K49" s="443"/>
      <c r="L49" s="462">
        <f>Tableau1[[#This Row],[g de DVE/kg de MS]]*Tableau1[[#This Row],[T de MS]]</f>
        <v>0</v>
      </c>
    </row>
    <row r="50" spans="2:12" ht="16.2" thickBot="1" x14ac:dyDescent="0.35">
      <c r="B50" s="31"/>
      <c r="C50" s="483" t="s">
        <v>12</v>
      </c>
      <c r="D50" s="475" t="str">
        <f>IF(D49="","",D49)</f>
        <v/>
      </c>
      <c r="E50" s="71"/>
      <c r="F50" s="35">
        <f t="shared" ref="F50:F53" si="11">$D$49*$E50</f>
        <v>0</v>
      </c>
      <c r="G50" s="34"/>
      <c r="H50" s="47">
        <f t="shared" si="2"/>
        <v>0</v>
      </c>
      <c r="I50" s="453"/>
      <c r="J50" s="460">
        <f>Tableau1[[#This Row],[T de MS]]*Tableau1[[#This Row],[VEM/kg de MS]]*1000</f>
        <v>0</v>
      </c>
      <c r="K50" s="441"/>
      <c r="L50" s="462">
        <f>Tableau1[[#This Row],[g de DVE/kg de MS]]*Tableau1[[#This Row],[T de MS]]</f>
        <v>0</v>
      </c>
    </row>
    <row r="51" spans="2:12" ht="16.2" thickBot="1" x14ac:dyDescent="0.35">
      <c r="B51" s="31"/>
      <c r="C51" s="483" t="s">
        <v>13</v>
      </c>
      <c r="D51" s="475" t="str">
        <f t="shared" ref="D51:D53" si="12">IF(D50="","",D50)</f>
        <v/>
      </c>
      <c r="E51" s="71"/>
      <c r="F51" s="35">
        <f t="shared" si="11"/>
        <v>0</v>
      </c>
      <c r="G51" s="34"/>
      <c r="H51" s="47">
        <f t="shared" si="2"/>
        <v>0</v>
      </c>
      <c r="I51" s="453"/>
      <c r="J51" s="460">
        <f>Tableau1[[#This Row],[T de MS]]*Tableau1[[#This Row],[VEM/kg de MS]]*1000</f>
        <v>0</v>
      </c>
      <c r="K51" s="441"/>
      <c r="L51" s="462">
        <f>Tableau1[[#This Row],[g de DVE/kg de MS]]*Tableau1[[#This Row],[T de MS]]</f>
        <v>0</v>
      </c>
    </row>
    <row r="52" spans="2:12" s="5" customFormat="1" ht="16.2" thickBot="1" x14ac:dyDescent="0.35">
      <c r="B52" s="31"/>
      <c r="C52" s="483" t="s">
        <v>14</v>
      </c>
      <c r="D52" s="475" t="str">
        <f t="shared" si="12"/>
        <v/>
      </c>
      <c r="E52" s="71"/>
      <c r="F52" s="35">
        <f t="shared" si="11"/>
        <v>0</v>
      </c>
      <c r="G52" s="34"/>
      <c r="H52" s="47">
        <f t="shared" si="2"/>
        <v>0</v>
      </c>
      <c r="I52" s="453"/>
      <c r="J52" s="460">
        <f>Tableau1[[#This Row],[T de MS]]*Tableau1[[#This Row],[VEM/kg de MS]]*1000</f>
        <v>0</v>
      </c>
      <c r="K52" s="441"/>
      <c r="L52" s="462">
        <f>Tableau1[[#This Row],[g de DVE/kg de MS]]*Tableau1[[#This Row],[T de MS]]</f>
        <v>0</v>
      </c>
    </row>
    <row r="53" spans="2:12" s="5" customFormat="1" ht="16.2" thickBot="1" x14ac:dyDescent="0.35">
      <c r="B53" s="74"/>
      <c r="C53" s="486" t="s">
        <v>15</v>
      </c>
      <c r="D53" s="475" t="str">
        <f t="shared" si="12"/>
        <v/>
      </c>
      <c r="E53" s="64"/>
      <c r="F53" s="39">
        <f t="shared" si="11"/>
        <v>0</v>
      </c>
      <c r="G53" s="51"/>
      <c r="H53" s="52">
        <f t="shared" si="2"/>
        <v>0</v>
      </c>
      <c r="I53" s="454"/>
      <c r="J53" s="460">
        <f>Tableau1[[#This Row],[T de MS]]*Tableau1[[#This Row],[VEM/kg de MS]]*1000</f>
        <v>0</v>
      </c>
      <c r="K53" s="444"/>
      <c r="L53" s="462">
        <f>Tableau1[[#This Row],[g de DVE/kg de MS]]*Tableau1[[#This Row],[T de MS]]</f>
        <v>0</v>
      </c>
    </row>
    <row r="54" spans="2:12" ht="16.2" thickBot="1" x14ac:dyDescent="0.35">
      <c r="B54" s="53" t="s">
        <v>121</v>
      </c>
      <c r="C54" s="485" t="s">
        <v>11</v>
      </c>
      <c r="D54" s="91"/>
      <c r="E54" s="73"/>
      <c r="F54" s="75">
        <f>$D$54*$E54</f>
        <v>0</v>
      </c>
      <c r="G54" s="43"/>
      <c r="H54" s="54">
        <f t="shared" si="2"/>
        <v>0</v>
      </c>
      <c r="I54" s="452"/>
      <c r="J54" s="460">
        <f>Tableau1[[#This Row],[T de MS]]*Tableau1[[#This Row],[VEM/kg de MS]]*1000</f>
        <v>0</v>
      </c>
      <c r="K54" s="443"/>
      <c r="L54" s="462">
        <f>Tableau1[[#This Row],[g de DVE/kg de MS]]*Tableau1[[#This Row],[T de MS]]</f>
        <v>0</v>
      </c>
    </row>
    <row r="55" spans="2:12" ht="16.2" thickBot="1" x14ac:dyDescent="0.35">
      <c r="B55" s="31"/>
      <c r="C55" s="483" t="s">
        <v>12</v>
      </c>
      <c r="D55" s="475" t="str">
        <f>IF(D54="","",D54)</f>
        <v/>
      </c>
      <c r="E55" s="71"/>
      <c r="F55" s="35">
        <f t="shared" ref="F55:F58" si="13">$D$54*$E55</f>
        <v>0</v>
      </c>
      <c r="G55" s="34"/>
      <c r="H55" s="47">
        <f t="shared" si="2"/>
        <v>0</v>
      </c>
      <c r="I55" s="453"/>
      <c r="J55" s="460">
        <f>Tableau1[[#This Row],[T de MS]]*Tableau1[[#This Row],[VEM/kg de MS]]*1000</f>
        <v>0</v>
      </c>
      <c r="K55" s="441"/>
      <c r="L55" s="462">
        <f>Tableau1[[#This Row],[g de DVE/kg de MS]]*Tableau1[[#This Row],[T de MS]]</f>
        <v>0</v>
      </c>
    </row>
    <row r="56" spans="2:12" ht="16.2" thickBot="1" x14ac:dyDescent="0.35">
      <c r="B56" s="31"/>
      <c r="C56" s="483" t="s">
        <v>13</v>
      </c>
      <c r="D56" s="475" t="str">
        <f t="shared" ref="D56:D58" si="14">IF(D55="","",D55)</f>
        <v/>
      </c>
      <c r="E56" s="71"/>
      <c r="F56" s="35">
        <f t="shared" si="13"/>
        <v>0</v>
      </c>
      <c r="G56" s="34"/>
      <c r="H56" s="47">
        <f t="shared" si="2"/>
        <v>0</v>
      </c>
      <c r="I56" s="453"/>
      <c r="J56" s="460">
        <f>Tableau1[[#This Row],[T de MS]]*Tableau1[[#This Row],[VEM/kg de MS]]*1000</f>
        <v>0</v>
      </c>
      <c r="K56" s="441"/>
      <c r="L56" s="462">
        <f>Tableau1[[#This Row],[g de DVE/kg de MS]]*Tableau1[[#This Row],[T de MS]]</f>
        <v>0</v>
      </c>
    </row>
    <row r="57" spans="2:12" s="5" customFormat="1" ht="16.2" thickBot="1" x14ac:dyDescent="0.35">
      <c r="B57" s="31"/>
      <c r="C57" s="483" t="s">
        <v>14</v>
      </c>
      <c r="D57" s="475" t="str">
        <f t="shared" si="14"/>
        <v/>
      </c>
      <c r="E57" s="71"/>
      <c r="F57" s="35">
        <f t="shared" si="13"/>
        <v>0</v>
      </c>
      <c r="G57" s="34"/>
      <c r="H57" s="47">
        <f t="shared" si="2"/>
        <v>0</v>
      </c>
      <c r="I57" s="453"/>
      <c r="J57" s="460">
        <f>Tableau1[[#This Row],[T de MS]]*Tableau1[[#This Row],[VEM/kg de MS]]*1000</f>
        <v>0</v>
      </c>
      <c r="K57" s="441"/>
      <c r="L57" s="462">
        <f>Tableau1[[#This Row],[g de DVE/kg de MS]]*Tableau1[[#This Row],[T de MS]]</f>
        <v>0</v>
      </c>
    </row>
    <row r="58" spans="2:12" s="5" customFormat="1" ht="16.2" thickBot="1" x14ac:dyDescent="0.35">
      <c r="B58" s="48"/>
      <c r="C58" s="484" t="s">
        <v>15</v>
      </c>
      <c r="D58" s="475" t="str">
        <f t="shared" si="14"/>
        <v/>
      </c>
      <c r="E58" s="64"/>
      <c r="F58" s="76">
        <f t="shared" si="13"/>
        <v>0</v>
      </c>
      <c r="G58" s="51"/>
      <c r="H58" s="52">
        <f t="shared" si="2"/>
        <v>0</v>
      </c>
      <c r="I58" s="454"/>
      <c r="J58" s="460">
        <f>Tableau1[[#This Row],[T de MS]]*Tableau1[[#This Row],[VEM/kg de MS]]*1000</f>
        <v>0</v>
      </c>
      <c r="K58" s="444"/>
      <c r="L58" s="462">
        <f>Tableau1[[#This Row],[g de DVE/kg de MS]]*Tableau1[[#This Row],[T de MS]]</f>
        <v>0</v>
      </c>
    </row>
    <row r="59" spans="2:12" s="5" customFormat="1" ht="16.2" thickBot="1" x14ac:dyDescent="0.35">
      <c r="B59" s="53" t="s">
        <v>122</v>
      </c>
      <c r="C59" s="485" t="s">
        <v>11</v>
      </c>
      <c r="D59" s="91"/>
      <c r="E59" s="73"/>
      <c r="F59" s="75">
        <f>$D$59*$E59</f>
        <v>0</v>
      </c>
      <c r="G59" s="43"/>
      <c r="H59" s="54">
        <f t="shared" si="2"/>
        <v>0</v>
      </c>
      <c r="I59" s="452"/>
      <c r="J59" s="460">
        <f>Tableau1[[#This Row],[T de MS]]*Tableau1[[#This Row],[VEM/kg de MS]]*1000</f>
        <v>0</v>
      </c>
      <c r="K59" s="443"/>
      <c r="L59" s="462">
        <f>Tableau1[[#This Row],[g de DVE/kg de MS]]*Tableau1[[#This Row],[T de MS]]</f>
        <v>0</v>
      </c>
    </row>
    <row r="60" spans="2:12" s="5" customFormat="1" ht="16.2" thickBot="1" x14ac:dyDescent="0.35">
      <c r="B60" s="31"/>
      <c r="C60" s="483" t="s">
        <v>12</v>
      </c>
      <c r="D60" s="475" t="str">
        <f>IF(D59="","",D59)</f>
        <v/>
      </c>
      <c r="E60" s="71"/>
      <c r="F60" s="35">
        <f t="shared" ref="F60:F63" si="15">$D$59*$E60</f>
        <v>0</v>
      </c>
      <c r="G60" s="34"/>
      <c r="H60" s="47">
        <f t="shared" si="2"/>
        <v>0</v>
      </c>
      <c r="I60" s="453"/>
      <c r="J60" s="460">
        <f>Tableau1[[#This Row],[T de MS]]*Tableau1[[#This Row],[VEM/kg de MS]]*1000</f>
        <v>0</v>
      </c>
      <c r="K60" s="441"/>
      <c r="L60" s="462">
        <f>Tableau1[[#This Row],[g de DVE/kg de MS]]*Tableau1[[#This Row],[T de MS]]</f>
        <v>0</v>
      </c>
    </row>
    <row r="61" spans="2:12" s="5" customFormat="1" ht="16.2" thickBot="1" x14ac:dyDescent="0.35">
      <c r="B61" s="31"/>
      <c r="C61" s="483" t="s">
        <v>13</v>
      </c>
      <c r="D61" s="475" t="str">
        <f t="shared" ref="D61:D63" si="16">IF(D60="","",D60)</f>
        <v/>
      </c>
      <c r="E61" s="71"/>
      <c r="F61" s="35">
        <f t="shared" si="15"/>
        <v>0</v>
      </c>
      <c r="G61" s="34"/>
      <c r="H61" s="47">
        <f t="shared" si="2"/>
        <v>0</v>
      </c>
      <c r="I61" s="453"/>
      <c r="J61" s="460">
        <f>Tableau1[[#This Row],[T de MS]]*Tableau1[[#This Row],[VEM/kg de MS]]*1000</f>
        <v>0</v>
      </c>
      <c r="K61" s="441"/>
      <c r="L61" s="462">
        <f>Tableau1[[#This Row],[g de DVE/kg de MS]]*Tableau1[[#This Row],[T de MS]]</f>
        <v>0</v>
      </c>
    </row>
    <row r="62" spans="2:12" s="5" customFormat="1" ht="16.2" thickBot="1" x14ac:dyDescent="0.35">
      <c r="B62" s="31"/>
      <c r="C62" s="483" t="s">
        <v>14</v>
      </c>
      <c r="D62" s="475" t="str">
        <f t="shared" si="16"/>
        <v/>
      </c>
      <c r="E62" s="71"/>
      <c r="F62" s="35">
        <f t="shared" si="15"/>
        <v>0</v>
      </c>
      <c r="G62" s="34"/>
      <c r="H62" s="47">
        <f t="shared" si="2"/>
        <v>0</v>
      </c>
      <c r="I62" s="453"/>
      <c r="J62" s="460">
        <f>Tableau1[[#This Row],[T de MS]]*Tableau1[[#This Row],[VEM/kg de MS]]*1000</f>
        <v>0</v>
      </c>
      <c r="K62" s="441"/>
      <c r="L62" s="462">
        <f>Tableau1[[#This Row],[g de DVE/kg de MS]]*Tableau1[[#This Row],[T de MS]]</f>
        <v>0</v>
      </c>
    </row>
    <row r="63" spans="2:12" s="5" customFormat="1" ht="16.2" thickBot="1" x14ac:dyDescent="0.35">
      <c r="B63" s="48"/>
      <c r="C63" s="484" t="s">
        <v>15</v>
      </c>
      <c r="D63" s="475" t="str">
        <f t="shared" si="16"/>
        <v/>
      </c>
      <c r="E63" s="64"/>
      <c r="F63" s="76">
        <f t="shared" si="15"/>
        <v>0</v>
      </c>
      <c r="G63" s="51"/>
      <c r="H63" s="52">
        <f t="shared" si="2"/>
        <v>0</v>
      </c>
      <c r="I63" s="454"/>
      <c r="J63" s="460">
        <f>Tableau1[[#This Row],[T de MS]]*Tableau1[[#This Row],[VEM/kg de MS]]*1000</f>
        <v>0</v>
      </c>
      <c r="K63" s="444"/>
      <c r="L63" s="462">
        <f>Tableau1[[#This Row],[g de DVE/kg de MS]]*Tableau1[[#This Row],[T de MS]]</f>
        <v>0</v>
      </c>
    </row>
    <row r="64" spans="2:12" s="5" customFormat="1" ht="16.2" thickBot="1" x14ac:dyDescent="0.35">
      <c r="B64" s="53" t="s">
        <v>123</v>
      </c>
      <c r="C64" s="485" t="s">
        <v>11</v>
      </c>
      <c r="D64" s="91"/>
      <c r="E64" s="73"/>
      <c r="F64" s="75">
        <f>$D$64*$E64</f>
        <v>0</v>
      </c>
      <c r="G64" s="43"/>
      <c r="H64" s="54">
        <f t="shared" si="2"/>
        <v>0</v>
      </c>
      <c r="I64" s="452"/>
      <c r="J64" s="460">
        <f>Tableau1[[#This Row],[T de MS]]*Tableau1[[#This Row],[VEM/kg de MS]]*1000</f>
        <v>0</v>
      </c>
      <c r="K64" s="443"/>
      <c r="L64" s="462">
        <f>Tableau1[[#This Row],[g de DVE/kg de MS]]*Tableau1[[#This Row],[T de MS]]</f>
        <v>0</v>
      </c>
    </row>
    <row r="65" spans="2:12" s="5" customFormat="1" ht="16.2" thickBot="1" x14ac:dyDescent="0.35">
      <c r="B65" s="31"/>
      <c r="C65" s="483" t="s">
        <v>12</v>
      </c>
      <c r="D65" s="475" t="str">
        <f>IF(D64="","",D64)</f>
        <v/>
      </c>
      <c r="E65" s="71"/>
      <c r="F65" s="35">
        <f t="shared" ref="F65:F67" si="17">$D$64*$E65</f>
        <v>0</v>
      </c>
      <c r="G65" s="34"/>
      <c r="H65" s="47">
        <f t="shared" si="2"/>
        <v>0</v>
      </c>
      <c r="I65" s="453"/>
      <c r="J65" s="460">
        <f>Tableau1[[#This Row],[T de MS]]*Tableau1[[#This Row],[VEM/kg de MS]]*1000</f>
        <v>0</v>
      </c>
      <c r="K65" s="441"/>
      <c r="L65" s="462">
        <f>Tableau1[[#This Row],[g de DVE/kg de MS]]*Tableau1[[#This Row],[T de MS]]</f>
        <v>0</v>
      </c>
    </row>
    <row r="66" spans="2:12" s="5" customFormat="1" ht="16.2" thickBot="1" x14ac:dyDescent="0.35">
      <c r="B66" s="31"/>
      <c r="C66" s="483" t="s">
        <v>13</v>
      </c>
      <c r="D66" s="475" t="str">
        <f t="shared" ref="D66:D68" si="18">IF(D65="","",D65)</f>
        <v/>
      </c>
      <c r="E66" s="71"/>
      <c r="F66" s="35">
        <f t="shared" si="17"/>
        <v>0</v>
      </c>
      <c r="G66" s="34"/>
      <c r="H66" s="47">
        <f t="shared" si="2"/>
        <v>0</v>
      </c>
      <c r="I66" s="453"/>
      <c r="J66" s="460">
        <f>Tableau1[[#This Row],[T de MS]]*Tableau1[[#This Row],[VEM/kg de MS]]*1000</f>
        <v>0</v>
      </c>
      <c r="K66" s="441"/>
      <c r="L66" s="462">
        <f>Tableau1[[#This Row],[g de DVE/kg de MS]]*Tableau1[[#This Row],[T de MS]]</f>
        <v>0</v>
      </c>
    </row>
    <row r="67" spans="2:12" s="5" customFormat="1" ht="16.2" thickBot="1" x14ac:dyDescent="0.35">
      <c r="B67" s="31"/>
      <c r="C67" s="483" t="s">
        <v>14</v>
      </c>
      <c r="D67" s="475" t="str">
        <f t="shared" si="18"/>
        <v/>
      </c>
      <c r="E67" s="71"/>
      <c r="F67" s="35">
        <f t="shared" si="17"/>
        <v>0</v>
      </c>
      <c r="G67" s="34"/>
      <c r="H67" s="47">
        <f t="shared" si="2"/>
        <v>0</v>
      </c>
      <c r="I67" s="453"/>
      <c r="J67" s="460">
        <f>Tableau1[[#This Row],[T de MS]]*Tableau1[[#This Row],[VEM/kg de MS]]*1000</f>
        <v>0</v>
      </c>
      <c r="K67" s="441"/>
      <c r="L67" s="462">
        <f>Tableau1[[#This Row],[g de DVE/kg de MS]]*Tableau1[[#This Row],[T de MS]]</f>
        <v>0</v>
      </c>
    </row>
    <row r="68" spans="2:12" s="5" customFormat="1" ht="16.2" thickBot="1" x14ac:dyDescent="0.35">
      <c r="B68" s="48"/>
      <c r="C68" s="484" t="s">
        <v>15</v>
      </c>
      <c r="D68" s="475" t="str">
        <f t="shared" si="18"/>
        <v/>
      </c>
      <c r="E68" s="64"/>
      <c r="F68" s="76">
        <f>$D$64*$E68</f>
        <v>0</v>
      </c>
      <c r="G68" s="51"/>
      <c r="H68" s="52">
        <f t="shared" si="2"/>
        <v>0</v>
      </c>
      <c r="I68" s="454"/>
      <c r="J68" s="460">
        <f>Tableau1[[#This Row],[T de MS]]*Tableau1[[#This Row],[VEM/kg de MS]]*1000</f>
        <v>0</v>
      </c>
      <c r="K68" s="444"/>
      <c r="L68" s="462">
        <f>Tableau1[[#This Row],[g de DVE/kg de MS]]*Tableau1[[#This Row],[T de MS]]</f>
        <v>0</v>
      </c>
    </row>
    <row r="69" spans="2:12" s="5" customFormat="1" ht="16.2" thickBot="1" x14ac:dyDescent="0.35">
      <c r="B69" s="53" t="s">
        <v>124</v>
      </c>
      <c r="C69" s="485" t="s">
        <v>11</v>
      </c>
      <c r="D69" s="91"/>
      <c r="E69" s="73"/>
      <c r="F69" s="75">
        <f>$D$69*$E69</f>
        <v>0</v>
      </c>
      <c r="G69" s="43"/>
      <c r="H69" s="54">
        <f t="shared" si="2"/>
        <v>0</v>
      </c>
      <c r="I69" s="452"/>
      <c r="J69" s="460">
        <f>Tableau1[[#This Row],[T de MS]]*Tableau1[[#This Row],[VEM/kg de MS]]*1000</f>
        <v>0</v>
      </c>
      <c r="K69" s="443"/>
      <c r="L69" s="462">
        <f>Tableau1[[#This Row],[g de DVE/kg de MS]]*Tableau1[[#This Row],[T de MS]]</f>
        <v>0</v>
      </c>
    </row>
    <row r="70" spans="2:12" s="5" customFormat="1" ht="16.2" thickBot="1" x14ac:dyDescent="0.35">
      <c r="B70" s="31"/>
      <c r="C70" s="483" t="s">
        <v>12</v>
      </c>
      <c r="D70" s="475" t="str">
        <f>IF(D69="","",D69)</f>
        <v/>
      </c>
      <c r="E70" s="71"/>
      <c r="F70" s="35">
        <f t="shared" ref="F70:F73" si="19">$D$69*$E70</f>
        <v>0</v>
      </c>
      <c r="G70" s="34"/>
      <c r="H70" s="47">
        <f t="shared" si="2"/>
        <v>0</v>
      </c>
      <c r="I70" s="453"/>
      <c r="J70" s="460">
        <f>Tableau1[[#This Row],[T de MS]]*Tableau1[[#This Row],[VEM/kg de MS]]*1000</f>
        <v>0</v>
      </c>
      <c r="K70" s="441"/>
      <c r="L70" s="462">
        <f>Tableau1[[#This Row],[g de DVE/kg de MS]]*Tableau1[[#This Row],[T de MS]]</f>
        <v>0</v>
      </c>
    </row>
    <row r="71" spans="2:12" s="5" customFormat="1" ht="16.2" thickBot="1" x14ac:dyDescent="0.35">
      <c r="B71" s="31"/>
      <c r="C71" s="483" t="s">
        <v>13</v>
      </c>
      <c r="D71" s="475" t="str">
        <f t="shared" ref="D71:D73" si="20">IF(D70="","",D70)</f>
        <v/>
      </c>
      <c r="E71" s="71"/>
      <c r="F71" s="35">
        <f t="shared" si="19"/>
        <v>0</v>
      </c>
      <c r="G71" s="34"/>
      <c r="H71" s="47">
        <f t="shared" si="2"/>
        <v>0</v>
      </c>
      <c r="I71" s="453"/>
      <c r="J71" s="460">
        <f>Tableau1[[#This Row],[T de MS]]*Tableau1[[#This Row],[VEM/kg de MS]]*1000</f>
        <v>0</v>
      </c>
      <c r="K71" s="441"/>
      <c r="L71" s="462">
        <f>Tableau1[[#This Row],[g de DVE/kg de MS]]*Tableau1[[#This Row],[T de MS]]</f>
        <v>0</v>
      </c>
    </row>
    <row r="72" spans="2:12" s="5" customFormat="1" ht="16.2" thickBot="1" x14ac:dyDescent="0.35">
      <c r="B72" s="31"/>
      <c r="C72" s="483" t="s">
        <v>14</v>
      </c>
      <c r="D72" s="475" t="str">
        <f t="shared" si="20"/>
        <v/>
      </c>
      <c r="E72" s="71"/>
      <c r="F72" s="35">
        <f t="shared" si="19"/>
        <v>0</v>
      </c>
      <c r="G72" s="34"/>
      <c r="H72" s="47">
        <f t="shared" si="2"/>
        <v>0</v>
      </c>
      <c r="I72" s="453"/>
      <c r="J72" s="460">
        <f>Tableau1[[#This Row],[T de MS]]*Tableau1[[#This Row],[VEM/kg de MS]]*1000</f>
        <v>0</v>
      </c>
      <c r="K72" s="441"/>
      <c r="L72" s="462">
        <f>Tableau1[[#This Row],[g de DVE/kg de MS]]*Tableau1[[#This Row],[T de MS]]</f>
        <v>0</v>
      </c>
    </row>
    <row r="73" spans="2:12" s="5" customFormat="1" ht="16.2" thickBot="1" x14ac:dyDescent="0.35">
      <c r="B73" s="48"/>
      <c r="C73" s="484" t="s">
        <v>15</v>
      </c>
      <c r="D73" s="475" t="str">
        <f t="shared" si="20"/>
        <v/>
      </c>
      <c r="E73" s="64"/>
      <c r="F73" s="76">
        <f t="shared" si="19"/>
        <v>0</v>
      </c>
      <c r="G73" s="51"/>
      <c r="H73" s="52">
        <f t="shared" si="2"/>
        <v>0</v>
      </c>
      <c r="I73" s="454"/>
      <c r="J73" s="460">
        <f>Tableau1[[#This Row],[T de MS]]*Tableau1[[#This Row],[VEM/kg de MS]]*1000</f>
        <v>0</v>
      </c>
      <c r="K73" s="444"/>
      <c r="L73" s="462">
        <f>Tableau1[[#This Row],[g de DVE/kg de MS]]*Tableau1[[#This Row],[T de MS]]</f>
        <v>0</v>
      </c>
    </row>
    <row r="74" spans="2:12" s="5" customFormat="1" ht="16.2" thickBot="1" x14ac:dyDescent="0.35">
      <c r="B74" s="53" t="s">
        <v>125</v>
      </c>
      <c r="C74" s="485" t="s">
        <v>11</v>
      </c>
      <c r="D74" s="91"/>
      <c r="E74" s="73"/>
      <c r="F74" s="75">
        <f>$D$74*$E74</f>
        <v>0</v>
      </c>
      <c r="G74" s="43"/>
      <c r="H74" s="54">
        <f t="shared" si="2"/>
        <v>0</v>
      </c>
      <c r="I74" s="452"/>
      <c r="J74" s="460">
        <f>Tableau1[[#This Row],[T de MS]]*Tableau1[[#This Row],[VEM/kg de MS]]*1000</f>
        <v>0</v>
      </c>
      <c r="K74" s="443"/>
      <c r="L74" s="462">
        <f>Tableau1[[#This Row],[g de DVE/kg de MS]]*Tableau1[[#This Row],[T de MS]]</f>
        <v>0</v>
      </c>
    </row>
    <row r="75" spans="2:12" s="5" customFormat="1" ht="16.2" thickBot="1" x14ac:dyDescent="0.35">
      <c r="B75" s="31"/>
      <c r="C75" s="483" t="s">
        <v>12</v>
      </c>
      <c r="D75" s="475" t="str">
        <f>IF(D74="","",D74)</f>
        <v/>
      </c>
      <c r="E75" s="71"/>
      <c r="F75" s="35">
        <f t="shared" ref="F75:F78" si="21">$D$74*$E75</f>
        <v>0</v>
      </c>
      <c r="G75" s="34"/>
      <c r="H75" s="47">
        <f t="shared" si="2"/>
        <v>0</v>
      </c>
      <c r="I75" s="453"/>
      <c r="J75" s="460">
        <f>Tableau1[[#This Row],[T de MS]]*Tableau1[[#This Row],[VEM/kg de MS]]*1000</f>
        <v>0</v>
      </c>
      <c r="K75" s="441"/>
      <c r="L75" s="462">
        <f>Tableau1[[#This Row],[g de DVE/kg de MS]]*Tableau1[[#This Row],[T de MS]]</f>
        <v>0</v>
      </c>
    </row>
    <row r="76" spans="2:12" s="5" customFormat="1" ht="16.2" thickBot="1" x14ac:dyDescent="0.35">
      <c r="B76" s="31"/>
      <c r="C76" s="483" t="s">
        <v>13</v>
      </c>
      <c r="D76" s="475" t="str">
        <f t="shared" ref="D76:D78" si="22">IF(D75="","",D75)</f>
        <v/>
      </c>
      <c r="E76" s="71"/>
      <c r="F76" s="35">
        <f t="shared" si="21"/>
        <v>0</v>
      </c>
      <c r="G76" s="34"/>
      <c r="H76" s="47">
        <f t="shared" si="2"/>
        <v>0</v>
      </c>
      <c r="I76" s="453"/>
      <c r="J76" s="460">
        <f>Tableau1[[#This Row],[T de MS]]*Tableau1[[#This Row],[VEM/kg de MS]]*1000</f>
        <v>0</v>
      </c>
      <c r="K76" s="441"/>
      <c r="L76" s="462">
        <f>Tableau1[[#This Row],[g de DVE/kg de MS]]*Tableau1[[#This Row],[T de MS]]</f>
        <v>0</v>
      </c>
    </row>
    <row r="77" spans="2:12" s="5" customFormat="1" ht="16.2" thickBot="1" x14ac:dyDescent="0.35">
      <c r="B77" s="31"/>
      <c r="C77" s="483" t="s">
        <v>14</v>
      </c>
      <c r="D77" s="475" t="str">
        <f t="shared" si="22"/>
        <v/>
      </c>
      <c r="E77" s="71"/>
      <c r="F77" s="35">
        <f t="shared" si="21"/>
        <v>0</v>
      </c>
      <c r="G77" s="34"/>
      <c r="H77" s="47">
        <f t="shared" si="2"/>
        <v>0</v>
      </c>
      <c r="I77" s="453"/>
      <c r="J77" s="460">
        <f>Tableau1[[#This Row],[T de MS]]*Tableau1[[#This Row],[VEM/kg de MS]]*1000</f>
        <v>0</v>
      </c>
      <c r="K77" s="441"/>
      <c r="L77" s="462">
        <f>Tableau1[[#This Row],[g de DVE/kg de MS]]*Tableau1[[#This Row],[T de MS]]</f>
        <v>0</v>
      </c>
    </row>
    <row r="78" spans="2:12" s="5" customFormat="1" ht="16.2" thickBot="1" x14ac:dyDescent="0.35">
      <c r="B78" s="74"/>
      <c r="C78" s="486" t="s">
        <v>15</v>
      </c>
      <c r="D78" s="475" t="str">
        <f t="shared" si="22"/>
        <v/>
      </c>
      <c r="E78" s="64"/>
      <c r="F78" s="76">
        <f t="shared" si="21"/>
        <v>0</v>
      </c>
      <c r="G78" s="51"/>
      <c r="H78" s="52">
        <f t="shared" si="2"/>
        <v>0</v>
      </c>
      <c r="I78" s="454"/>
      <c r="J78" s="460">
        <f>Tableau1[[#This Row],[T de MS]]*Tableau1[[#This Row],[VEM/kg de MS]]*1000</f>
        <v>0</v>
      </c>
      <c r="K78" s="444"/>
      <c r="L78" s="462">
        <f>Tableau1[[#This Row],[g de DVE/kg de MS]]*Tableau1[[#This Row],[T de MS]]</f>
        <v>0</v>
      </c>
    </row>
    <row r="79" spans="2:12" s="5" customFormat="1" ht="16.2" thickBot="1" x14ac:dyDescent="0.35">
      <c r="B79" s="53" t="s">
        <v>252</v>
      </c>
      <c r="C79" s="485" t="s">
        <v>11</v>
      </c>
      <c r="D79" s="91"/>
      <c r="E79" s="73"/>
      <c r="F79" s="75">
        <f>$D$79*$E79</f>
        <v>0</v>
      </c>
      <c r="G79" s="43"/>
      <c r="H79" s="54">
        <f t="shared" si="2"/>
        <v>0</v>
      </c>
      <c r="I79" s="452"/>
      <c r="J79" s="460">
        <f>Tableau1[[#This Row],[T de MS]]*Tableau1[[#This Row],[VEM/kg de MS]]*1000</f>
        <v>0</v>
      </c>
      <c r="K79" s="443"/>
      <c r="L79" s="462">
        <f>Tableau1[[#This Row],[g de DVE/kg de MS]]*Tableau1[[#This Row],[T de MS]]</f>
        <v>0</v>
      </c>
    </row>
    <row r="80" spans="2:12" s="5" customFormat="1" ht="16.2" thickBot="1" x14ac:dyDescent="0.35">
      <c r="B80" s="31"/>
      <c r="C80" s="483" t="s">
        <v>12</v>
      </c>
      <c r="D80" s="475" t="str">
        <f>IF(D79="","",D79)</f>
        <v/>
      </c>
      <c r="E80" s="71"/>
      <c r="F80" s="35">
        <f t="shared" ref="F80:F83" si="23">$D$79*$E80</f>
        <v>0</v>
      </c>
      <c r="G80" s="34"/>
      <c r="H80" s="47">
        <f t="shared" si="2"/>
        <v>0</v>
      </c>
      <c r="I80" s="453"/>
      <c r="J80" s="460">
        <f>Tableau1[[#This Row],[T de MS]]*Tableau1[[#This Row],[VEM/kg de MS]]*1000</f>
        <v>0</v>
      </c>
      <c r="K80" s="441"/>
      <c r="L80" s="462">
        <f>Tableau1[[#This Row],[g de DVE/kg de MS]]*Tableau1[[#This Row],[T de MS]]</f>
        <v>0</v>
      </c>
    </row>
    <row r="81" spans="2:19" s="5" customFormat="1" ht="16.2" thickBot="1" x14ac:dyDescent="0.35">
      <c r="B81" s="31"/>
      <c r="C81" s="483" t="s">
        <v>13</v>
      </c>
      <c r="D81" s="475" t="str">
        <f t="shared" ref="D81:D83" si="24">IF(D80="","",D80)</f>
        <v/>
      </c>
      <c r="E81" s="71"/>
      <c r="F81" s="35">
        <f t="shared" si="23"/>
        <v>0</v>
      </c>
      <c r="G81" s="34"/>
      <c r="H81" s="47">
        <f t="shared" si="2"/>
        <v>0</v>
      </c>
      <c r="I81" s="453"/>
      <c r="J81" s="460">
        <f>Tableau1[[#This Row],[T de MS]]*Tableau1[[#This Row],[VEM/kg de MS]]*1000</f>
        <v>0</v>
      </c>
      <c r="K81" s="441"/>
      <c r="L81" s="462">
        <f>Tableau1[[#This Row],[g de DVE/kg de MS]]*Tableau1[[#This Row],[T de MS]]</f>
        <v>0</v>
      </c>
    </row>
    <row r="82" spans="2:19" ht="16.2" thickBot="1" x14ac:dyDescent="0.35">
      <c r="B82" s="31"/>
      <c r="C82" s="483" t="s">
        <v>14</v>
      </c>
      <c r="D82" s="475" t="str">
        <f t="shared" si="24"/>
        <v/>
      </c>
      <c r="E82" s="71"/>
      <c r="F82" s="35">
        <f t="shared" si="23"/>
        <v>0</v>
      </c>
      <c r="G82" s="34"/>
      <c r="H82" s="47">
        <f t="shared" ref="H82:H103" si="25">$F82*$G82</f>
        <v>0</v>
      </c>
      <c r="I82" s="453"/>
      <c r="J82" s="460">
        <f>Tableau1[[#This Row],[T de MS]]*Tableau1[[#This Row],[VEM/kg de MS]]*1000</f>
        <v>0</v>
      </c>
      <c r="K82" s="441"/>
      <c r="L82" s="462">
        <f>Tableau1[[#This Row],[g de DVE/kg de MS]]*Tableau1[[#This Row],[T de MS]]</f>
        <v>0</v>
      </c>
    </row>
    <row r="83" spans="2:19" ht="16.2" thickBot="1" x14ac:dyDescent="0.35">
      <c r="B83" s="48"/>
      <c r="C83" s="484" t="s">
        <v>15</v>
      </c>
      <c r="D83" s="475" t="str">
        <f t="shared" si="24"/>
        <v/>
      </c>
      <c r="E83" s="64"/>
      <c r="F83" s="76">
        <f t="shared" si="23"/>
        <v>0</v>
      </c>
      <c r="G83" s="51"/>
      <c r="H83" s="52">
        <f t="shared" si="25"/>
        <v>0</v>
      </c>
      <c r="I83" s="454"/>
      <c r="J83" s="460">
        <f>Tableau1[[#This Row],[T de MS]]*Tableau1[[#This Row],[VEM/kg de MS]]*1000</f>
        <v>0</v>
      </c>
      <c r="K83" s="444"/>
      <c r="L83" s="462">
        <f>Tableau1[[#This Row],[g de DVE/kg de MS]]*Tableau1[[#This Row],[T de MS]]</f>
        <v>0</v>
      </c>
    </row>
    <row r="84" spans="2:19" ht="16.2" thickBot="1" x14ac:dyDescent="0.35">
      <c r="B84" s="53" t="s">
        <v>253</v>
      </c>
      <c r="C84" s="485" t="s">
        <v>11</v>
      </c>
      <c r="D84" s="91"/>
      <c r="E84" s="73"/>
      <c r="F84" s="75">
        <f>$D$84*$E84</f>
        <v>0</v>
      </c>
      <c r="G84" s="43"/>
      <c r="H84" s="54">
        <f t="shared" si="25"/>
        <v>0</v>
      </c>
      <c r="I84" s="452"/>
      <c r="J84" s="460">
        <f>Tableau1[[#This Row],[T de MS]]*Tableau1[[#This Row],[VEM/kg de MS]]*1000</f>
        <v>0</v>
      </c>
      <c r="K84" s="443"/>
      <c r="L84" s="462">
        <f>Tableau1[[#This Row],[g de DVE/kg de MS]]*Tableau1[[#This Row],[T de MS]]</f>
        <v>0</v>
      </c>
    </row>
    <row r="85" spans="2:19" ht="16.2" thickBot="1" x14ac:dyDescent="0.35">
      <c r="B85" s="31"/>
      <c r="C85" s="483" t="s">
        <v>12</v>
      </c>
      <c r="D85" s="475" t="str">
        <f>IF(D84="","",D84)</f>
        <v/>
      </c>
      <c r="E85" s="71"/>
      <c r="F85" s="35">
        <f t="shared" ref="F85:F88" si="26">$D$84*$E85</f>
        <v>0</v>
      </c>
      <c r="G85" s="34"/>
      <c r="H85" s="47">
        <f t="shared" si="25"/>
        <v>0</v>
      </c>
      <c r="I85" s="453"/>
      <c r="J85" s="460">
        <f>Tableau1[[#This Row],[T de MS]]*Tableau1[[#This Row],[VEM/kg de MS]]*1000</f>
        <v>0</v>
      </c>
      <c r="K85" s="441"/>
      <c r="L85" s="462">
        <f>Tableau1[[#This Row],[g de DVE/kg de MS]]*Tableau1[[#This Row],[T de MS]]</f>
        <v>0</v>
      </c>
    </row>
    <row r="86" spans="2:19" ht="16.2" thickBot="1" x14ac:dyDescent="0.35">
      <c r="B86" s="31"/>
      <c r="C86" s="483" t="s">
        <v>13</v>
      </c>
      <c r="D86" s="475" t="str">
        <f t="shared" ref="D86:D88" si="27">IF(D85="","",D85)</f>
        <v/>
      </c>
      <c r="E86" s="71"/>
      <c r="F86" s="35">
        <f t="shared" si="26"/>
        <v>0</v>
      </c>
      <c r="G86" s="34"/>
      <c r="H86" s="47">
        <f t="shared" si="25"/>
        <v>0</v>
      </c>
      <c r="I86" s="453"/>
      <c r="J86" s="460">
        <f>Tableau1[[#This Row],[T de MS]]*Tableau1[[#This Row],[VEM/kg de MS]]*1000</f>
        <v>0</v>
      </c>
      <c r="K86" s="441"/>
      <c r="L86" s="462">
        <f>Tableau1[[#This Row],[g de DVE/kg de MS]]*Tableau1[[#This Row],[T de MS]]</f>
        <v>0</v>
      </c>
    </row>
    <row r="87" spans="2:19" ht="16.2" thickBot="1" x14ac:dyDescent="0.35">
      <c r="B87" s="31"/>
      <c r="C87" s="483" t="s">
        <v>14</v>
      </c>
      <c r="D87" s="475" t="str">
        <f t="shared" si="27"/>
        <v/>
      </c>
      <c r="E87" s="71"/>
      <c r="F87" s="35">
        <f t="shared" si="26"/>
        <v>0</v>
      </c>
      <c r="G87" s="34"/>
      <c r="H87" s="47">
        <f t="shared" si="25"/>
        <v>0</v>
      </c>
      <c r="I87" s="453"/>
      <c r="J87" s="460">
        <f>Tableau1[[#This Row],[T de MS]]*Tableau1[[#This Row],[VEM/kg de MS]]*1000</f>
        <v>0</v>
      </c>
      <c r="K87" s="441"/>
      <c r="L87" s="462">
        <f>Tableau1[[#This Row],[g de DVE/kg de MS]]*Tableau1[[#This Row],[T de MS]]</f>
        <v>0</v>
      </c>
    </row>
    <row r="88" spans="2:19" s="5" customFormat="1" ht="16.2" thickBot="1" x14ac:dyDescent="0.35">
      <c r="B88" s="48"/>
      <c r="C88" s="484" t="s">
        <v>15</v>
      </c>
      <c r="D88" s="475" t="str">
        <f t="shared" si="27"/>
        <v/>
      </c>
      <c r="E88" s="64"/>
      <c r="F88" s="76">
        <f t="shared" si="26"/>
        <v>0</v>
      </c>
      <c r="G88" s="51"/>
      <c r="H88" s="52">
        <f t="shared" si="25"/>
        <v>0</v>
      </c>
      <c r="I88" s="454"/>
      <c r="J88" s="460">
        <f>Tableau1[[#This Row],[T de MS]]*Tableau1[[#This Row],[VEM/kg de MS]]*1000</f>
        <v>0</v>
      </c>
      <c r="K88" s="444"/>
      <c r="L88" s="462">
        <f>Tableau1[[#This Row],[g de DVE/kg de MS]]*Tableau1[[#This Row],[T de MS]]</f>
        <v>0</v>
      </c>
      <c r="N88"/>
      <c r="O88"/>
      <c r="P88"/>
      <c r="Q88"/>
      <c r="R88"/>
      <c r="S88"/>
    </row>
    <row r="89" spans="2:19" ht="16.2" thickBot="1" x14ac:dyDescent="0.35">
      <c r="B89" s="53" t="s">
        <v>254</v>
      </c>
      <c r="C89" s="485" t="s">
        <v>11</v>
      </c>
      <c r="D89" s="91"/>
      <c r="E89" s="73"/>
      <c r="F89" s="75">
        <f>$D$89*$E89</f>
        <v>0</v>
      </c>
      <c r="G89" s="43"/>
      <c r="H89" s="54">
        <f t="shared" si="25"/>
        <v>0</v>
      </c>
      <c r="I89" s="452"/>
      <c r="J89" s="460">
        <f>Tableau1[[#This Row],[T de MS]]*Tableau1[[#This Row],[VEM/kg de MS]]*1000</f>
        <v>0</v>
      </c>
      <c r="K89" s="443"/>
      <c r="L89" s="462">
        <f>Tableau1[[#This Row],[g de DVE/kg de MS]]*Tableau1[[#This Row],[T de MS]]</f>
        <v>0</v>
      </c>
    </row>
    <row r="90" spans="2:19" ht="16.2" thickBot="1" x14ac:dyDescent="0.35">
      <c r="B90" s="31"/>
      <c r="C90" s="483" t="s">
        <v>12</v>
      </c>
      <c r="D90" s="475" t="str">
        <f>IF(D89="","",D89)</f>
        <v/>
      </c>
      <c r="E90" s="71"/>
      <c r="F90" s="35">
        <f t="shared" ref="F90:F93" si="28">$D$89*$E90</f>
        <v>0</v>
      </c>
      <c r="G90" s="34"/>
      <c r="H90" s="47">
        <f t="shared" si="25"/>
        <v>0</v>
      </c>
      <c r="I90" s="453"/>
      <c r="J90" s="460">
        <f>Tableau1[[#This Row],[T de MS]]*Tableau1[[#This Row],[VEM/kg de MS]]*1000</f>
        <v>0</v>
      </c>
      <c r="K90" s="441"/>
      <c r="L90" s="462">
        <f>Tableau1[[#This Row],[g de DVE/kg de MS]]*Tableau1[[#This Row],[T de MS]]</f>
        <v>0</v>
      </c>
    </row>
    <row r="91" spans="2:19" ht="16.2" thickBot="1" x14ac:dyDescent="0.35">
      <c r="B91" s="31"/>
      <c r="C91" s="483" t="s">
        <v>13</v>
      </c>
      <c r="D91" s="475" t="str">
        <f t="shared" ref="D91:D93" si="29">IF(D90="","",D90)</f>
        <v/>
      </c>
      <c r="E91" s="71"/>
      <c r="F91" s="35">
        <f t="shared" si="28"/>
        <v>0</v>
      </c>
      <c r="G91" s="34"/>
      <c r="H91" s="47">
        <f t="shared" si="25"/>
        <v>0</v>
      </c>
      <c r="I91" s="453"/>
      <c r="J91" s="460">
        <f>Tableau1[[#This Row],[T de MS]]*Tableau1[[#This Row],[VEM/kg de MS]]*1000</f>
        <v>0</v>
      </c>
      <c r="K91" s="441"/>
      <c r="L91" s="462">
        <f>Tableau1[[#This Row],[g de DVE/kg de MS]]*Tableau1[[#This Row],[T de MS]]</f>
        <v>0</v>
      </c>
    </row>
    <row r="92" spans="2:19" ht="16.2" thickBot="1" x14ac:dyDescent="0.35">
      <c r="B92" s="31"/>
      <c r="C92" s="483" t="s">
        <v>14</v>
      </c>
      <c r="D92" s="475" t="str">
        <f t="shared" si="29"/>
        <v/>
      </c>
      <c r="E92" s="71"/>
      <c r="F92" s="35">
        <f t="shared" si="28"/>
        <v>0</v>
      </c>
      <c r="G92" s="34"/>
      <c r="H92" s="47">
        <f t="shared" si="25"/>
        <v>0</v>
      </c>
      <c r="I92" s="453"/>
      <c r="J92" s="460">
        <f>Tableau1[[#This Row],[T de MS]]*Tableau1[[#This Row],[VEM/kg de MS]]*1000</f>
        <v>0</v>
      </c>
      <c r="K92" s="441"/>
      <c r="L92" s="462">
        <f>Tableau1[[#This Row],[g de DVE/kg de MS]]*Tableau1[[#This Row],[T de MS]]</f>
        <v>0</v>
      </c>
    </row>
    <row r="93" spans="2:19" ht="16.2" thickBot="1" x14ac:dyDescent="0.35">
      <c r="B93" s="48"/>
      <c r="C93" s="484" t="s">
        <v>15</v>
      </c>
      <c r="D93" s="475" t="str">
        <f t="shared" si="29"/>
        <v/>
      </c>
      <c r="E93" s="64"/>
      <c r="F93" s="76">
        <f t="shared" si="28"/>
        <v>0</v>
      </c>
      <c r="G93" s="51"/>
      <c r="H93" s="52">
        <f t="shared" si="25"/>
        <v>0</v>
      </c>
      <c r="I93" s="454"/>
      <c r="J93" s="460">
        <f>Tableau1[[#This Row],[T de MS]]*Tableau1[[#This Row],[VEM/kg de MS]]*1000</f>
        <v>0</v>
      </c>
      <c r="K93" s="444"/>
      <c r="L93" s="462">
        <f>Tableau1[[#This Row],[g de DVE/kg de MS]]*Tableau1[[#This Row],[T de MS]]</f>
        <v>0</v>
      </c>
    </row>
    <row r="94" spans="2:19" ht="16.2" thickBot="1" x14ac:dyDescent="0.35">
      <c r="B94" s="53" t="s">
        <v>255</v>
      </c>
      <c r="C94" s="485" t="s">
        <v>11</v>
      </c>
      <c r="D94" s="91"/>
      <c r="E94" s="73"/>
      <c r="F94" s="75">
        <f>$D$94*$E94</f>
        <v>0</v>
      </c>
      <c r="G94" s="43"/>
      <c r="H94" s="54">
        <f t="shared" si="25"/>
        <v>0</v>
      </c>
      <c r="I94" s="452"/>
      <c r="J94" s="460">
        <f>Tableau1[[#This Row],[T de MS]]*Tableau1[[#This Row],[VEM/kg de MS]]*1000</f>
        <v>0</v>
      </c>
      <c r="K94" s="443"/>
      <c r="L94" s="462">
        <f>Tableau1[[#This Row],[g de DVE/kg de MS]]*Tableau1[[#This Row],[T de MS]]</f>
        <v>0</v>
      </c>
    </row>
    <row r="95" spans="2:19" ht="16.2" thickBot="1" x14ac:dyDescent="0.35">
      <c r="B95" s="31"/>
      <c r="C95" s="483" t="s">
        <v>12</v>
      </c>
      <c r="D95" s="475" t="str">
        <f>IF(D94="","",D94)</f>
        <v/>
      </c>
      <c r="E95" s="71"/>
      <c r="F95" s="35">
        <f t="shared" ref="F95:F98" si="30">$D$94*$E95</f>
        <v>0</v>
      </c>
      <c r="G95" s="34"/>
      <c r="H95" s="47">
        <f t="shared" si="25"/>
        <v>0</v>
      </c>
      <c r="I95" s="453"/>
      <c r="J95" s="460">
        <f>Tableau1[[#This Row],[T de MS]]*Tableau1[[#This Row],[VEM/kg de MS]]*1000</f>
        <v>0</v>
      </c>
      <c r="K95" s="441"/>
      <c r="L95" s="462">
        <f>Tableau1[[#This Row],[g de DVE/kg de MS]]*Tableau1[[#This Row],[T de MS]]</f>
        <v>0</v>
      </c>
    </row>
    <row r="96" spans="2:19" ht="16.2" thickBot="1" x14ac:dyDescent="0.35">
      <c r="B96" s="31"/>
      <c r="C96" s="483" t="s">
        <v>13</v>
      </c>
      <c r="D96" s="475" t="str">
        <f t="shared" ref="D96:D98" si="31">IF(D95="","",D95)</f>
        <v/>
      </c>
      <c r="E96" s="71"/>
      <c r="F96" s="35">
        <f t="shared" si="30"/>
        <v>0</v>
      </c>
      <c r="G96" s="34"/>
      <c r="H96" s="47">
        <f t="shared" si="25"/>
        <v>0</v>
      </c>
      <c r="I96" s="453"/>
      <c r="J96" s="460">
        <f>Tableau1[[#This Row],[T de MS]]*Tableau1[[#This Row],[VEM/kg de MS]]*1000</f>
        <v>0</v>
      </c>
      <c r="K96" s="441"/>
      <c r="L96" s="462">
        <f>Tableau1[[#This Row],[g de DVE/kg de MS]]*Tableau1[[#This Row],[T de MS]]</f>
        <v>0</v>
      </c>
    </row>
    <row r="97" spans="2:12" ht="16.2" thickBot="1" x14ac:dyDescent="0.35">
      <c r="B97" s="31"/>
      <c r="C97" s="483" t="s">
        <v>14</v>
      </c>
      <c r="D97" s="475" t="str">
        <f t="shared" si="31"/>
        <v/>
      </c>
      <c r="E97" s="71"/>
      <c r="F97" s="35">
        <f t="shared" si="30"/>
        <v>0</v>
      </c>
      <c r="G97" s="34"/>
      <c r="H97" s="47">
        <f t="shared" si="25"/>
        <v>0</v>
      </c>
      <c r="I97" s="453"/>
      <c r="J97" s="460">
        <f>Tableau1[[#This Row],[T de MS]]*Tableau1[[#This Row],[VEM/kg de MS]]*1000</f>
        <v>0</v>
      </c>
      <c r="K97" s="441"/>
      <c r="L97" s="462">
        <f>Tableau1[[#This Row],[g de DVE/kg de MS]]*Tableau1[[#This Row],[T de MS]]</f>
        <v>0</v>
      </c>
    </row>
    <row r="98" spans="2:12" ht="16.2" thickBot="1" x14ac:dyDescent="0.35">
      <c r="B98" s="48"/>
      <c r="C98" s="484" t="s">
        <v>15</v>
      </c>
      <c r="D98" s="475" t="str">
        <f t="shared" si="31"/>
        <v/>
      </c>
      <c r="E98" s="64"/>
      <c r="F98" s="76">
        <f t="shared" si="30"/>
        <v>0</v>
      </c>
      <c r="G98" s="51"/>
      <c r="H98" s="52">
        <f t="shared" si="25"/>
        <v>0</v>
      </c>
      <c r="I98" s="454"/>
      <c r="J98" s="460">
        <f>Tableau1[[#This Row],[T de MS]]*Tableau1[[#This Row],[VEM/kg de MS]]*1000</f>
        <v>0</v>
      </c>
      <c r="K98" s="444"/>
      <c r="L98" s="462">
        <f>Tableau1[[#This Row],[g de DVE/kg de MS]]*Tableau1[[#This Row],[T de MS]]</f>
        <v>0</v>
      </c>
    </row>
    <row r="99" spans="2:12" ht="16.2" thickBot="1" x14ac:dyDescent="0.35">
      <c r="B99" s="53" t="s">
        <v>256</v>
      </c>
      <c r="C99" s="485" t="s">
        <v>11</v>
      </c>
      <c r="D99" s="91"/>
      <c r="E99" s="73"/>
      <c r="F99" s="75">
        <f>$D$99*$E99</f>
        <v>0</v>
      </c>
      <c r="G99" s="43"/>
      <c r="H99" s="44">
        <f t="shared" si="25"/>
        <v>0</v>
      </c>
      <c r="I99" s="457"/>
      <c r="J99" s="460">
        <f>Tableau1[[#This Row],[T de MS]]*Tableau1[[#This Row],[VEM/kg de MS]]*1000</f>
        <v>0</v>
      </c>
      <c r="K99" s="443"/>
      <c r="L99" s="462">
        <f>Tableau1[[#This Row],[g de DVE/kg de MS]]*Tableau1[[#This Row],[T de MS]]</f>
        <v>0</v>
      </c>
    </row>
    <row r="100" spans="2:12" ht="16.2" thickBot="1" x14ac:dyDescent="0.35">
      <c r="B100" s="31"/>
      <c r="C100" s="483" t="s">
        <v>12</v>
      </c>
      <c r="D100" s="475" t="str">
        <f>IF(D99="","",D99)</f>
        <v/>
      </c>
      <c r="E100" s="71"/>
      <c r="F100" s="35">
        <f t="shared" ref="F100:F103" si="32">$D$99*$E100</f>
        <v>0</v>
      </c>
      <c r="G100" s="34"/>
      <c r="H100" s="47">
        <f t="shared" si="25"/>
        <v>0</v>
      </c>
      <c r="I100" s="450"/>
      <c r="J100" s="460">
        <f>Tableau1[[#This Row],[T de MS]]*Tableau1[[#This Row],[VEM/kg de MS]]*1000</f>
        <v>0</v>
      </c>
      <c r="K100" s="441"/>
      <c r="L100" s="462">
        <f>Tableau1[[#This Row],[g de DVE/kg de MS]]*Tableau1[[#This Row],[T de MS]]</f>
        <v>0</v>
      </c>
    </row>
    <row r="101" spans="2:12" ht="16.2" thickBot="1" x14ac:dyDescent="0.35">
      <c r="B101" s="31"/>
      <c r="C101" s="483" t="s">
        <v>13</v>
      </c>
      <c r="D101" s="475" t="str">
        <f t="shared" ref="D101:D103" si="33">IF(D100="","",D100)</f>
        <v/>
      </c>
      <c r="E101" s="71"/>
      <c r="F101" s="35">
        <f t="shared" si="32"/>
        <v>0</v>
      </c>
      <c r="G101" s="34"/>
      <c r="H101" s="47">
        <f t="shared" si="25"/>
        <v>0</v>
      </c>
      <c r="I101" s="450"/>
      <c r="J101" s="460">
        <f>Tableau1[[#This Row],[T de MS]]*Tableau1[[#This Row],[VEM/kg de MS]]*1000</f>
        <v>0</v>
      </c>
      <c r="K101" s="441"/>
      <c r="L101" s="462">
        <f>Tableau1[[#This Row],[g de DVE/kg de MS]]*Tableau1[[#This Row],[T de MS]]</f>
        <v>0</v>
      </c>
    </row>
    <row r="102" spans="2:12" ht="16.2" thickBot="1" x14ac:dyDescent="0.35">
      <c r="B102" s="31"/>
      <c r="C102" s="483" t="s">
        <v>14</v>
      </c>
      <c r="D102" s="475" t="str">
        <f t="shared" si="33"/>
        <v/>
      </c>
      <c r="E102" s="71"/>
      <c r="F102" s="35">
        <f t="shared" si="32"/>
        <v>0</v>
      </c>
      <c r="G102" s="34"/>
      <c r="H102" s="47">
        <f t="shared" si="25"/>
        <v>0</v>
      </c>
      <c r="I102" s="450"/>
      <c r="J102" s="460">
        <f>Tableau1[[#This Row],[T de MS]]*Tableau1[[#This Row],[VEM/kg de MS]]*1000</f>
        <v>0</v>
      </c>
      <c r="K102" s="441"/>
      <c r="L102" s="462">
        <f>Tableau1[[#This Row],[g de DVE/kg de MS]]*Tableau1[[#This Row],[T de MS]]</f>
        <v>0</v>
      </c>
    </row>
    <row r="103" spans="2:12" ht="16.2" thickBot="1" x14ac:dyDescent="0.35">
      <c r="B103" s="74"/>
      <c r="C103" s="486" t="s">
        <v>15</v>
      </c>
      <c r="D103" s="475" t="str">
        <f t="shared" si="33"/>
        <v/>
      </c>
      <c r="E103" s="77"/>
      <c r="F103" s="78">
        <f t="shared" si="32"/>
        <v>0</v>
      </c>
      <c r="G103" s="79"/>
      <c r="H103" s="80">
        <f t="shared" si="25"/>
        <v>0</v>
      </c>
      <c r="I103" s="458"/>
      <c r="J103" s="460">
        <f>Tableau1[[#This Row],[T de MS]]*Tableau1[[#This Row],[VEM/kg de MS]]*1000</f>
        <v>0</v>
      </c>
      <c r="K103" s="446"/>
      <c r="L103" s="462">
        <f>Tableau1[[#This Row],[g de DVE/kg de MS]]*Tableau1[[#This Row],[T de MS]]</f>
        <v>0</v>
      </c>
    </row>
    <row r="104" spans="2:12" ht="18.600000000000001" thickBot="1" x14ac:dyDescent="0.35">
      <c r="B104" s="133" t="s">
        <v>5</v>
      </c>
      <c r="C104" s="481"/>
      <c r="D104" s="476">
        <f>SUM(D4:D12,D13,D15,D17,D19,D21,D23,D25:D28,D29,D34,D39,D44,D49,D54,D59,D64,D69,D74,D79,D84,D89,D94,D99)</f>
        <v>0</v>
      </c>
      <c r="E104" s="138"/>
      <c r="F104" s="139">
        <f>SUM(F4:F103)</f>
        <v>0</v>
      </c>
      <c r="G104" s="140"/>
      <c r="H104" s="141">
        <f>SUM(H4:H103)</f>
        <v>0</v>
      </c>
      <c r="I104" s="459"/>
      <c r="J104" s="461">
        <f>SUM(J4:J103)</f>
        <v>0</v>
      </c>
      <c r="K104" s="142"/>
      <c r="L104" s="463">
        <f>SUM(L4:L103)</f>
        <v>0</v>
      </c>
    </row>
  </sheetData>
  <sheetProtection sheet="1" formatColumns="0" selectLockedCells="1"/>
  <mergeCells count="1">
    <mergeCell ref="B2:L2"/>
  </mergeCells>
  <dataValidations count="1">
    <dataValidation type="list" allowBlank="1" showInputMessage="1" showErrorMessage="1" sqref="B13 B15 B17 B19 B21 B23">
      <formula1>"Choisir une céréale,Épeautre,Escourgeon,Froment,Triticale,Avoine"</formula1>
    </dataValidation>
  </dataValidations>
  <pageMargins left="0.7" right="0.7" top="0.75" bottom="0.75" header="0.3" footer="0.3"/>
  <pageSetup paperSize="9"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92D050"/>
  </sheetPr>
  <dimension ref="B1:P31"/>
  <sheetViews>
    <sheetView showGridLines="0" zoomScale="70" zoomScaleNormal="70" workbookViewId="0">
      <selection activeCell="G19" sqref="G19"/>
    </sheetView>
  </sheetViews>
  <sheetFormatPr baseColWidth="10" defaultRowHeight="14.4" x14ac:dyDescent="0.3"/>
  <cols>
    <col min="1" max="1" width="0.5546875" customWidth="1"/>
    <col min="2" max="2" width="23.5546875" customWidth="1"/>
    <col min="3" max="3" width="35.33203125" customWidth="1"/>
    <col min="4" max="4" width="20" customWidth="1"/>
    <col min="5" max="5" width="25" customWidth="1"/>
    <col min="6" max="6" width="71.109375" customWidth="1"/>
    <col min="7" max="7" width="19.33203125" customWidth="1"/>
    <col min="8" max="8" width="28.77734375" customWidth="1"/>
    <col min="9" max="9" width="31.33203125" customWidth="1"/>
    <col min="10" max="10" width="28.44140625" customWidth="1"/>
    <col min="12" max="12" width="25" customWidth="1"/>
    <col min="13" max="13" width="16.77734375" customWidth="1"/>
    <col min="14" max="14" width="14.21875" customWidth="1"/>
    <col min="15" max="15" width="16.88671875" customWidth="1"/>
    <col min="16" max="16" width="13.6640625" customWidth="1"/>
  </cols>
  <sheetData>
    <row r="1" spans="2:16" s="20" customFormat="1" ht="1.8" customHeight="1" thickBot="1" x14ac:dyDescent="0.35"/>
    <row r="2" spans="2:16" s="20" customFormat="1" ht="26.4" customHeight="1" thickBot="1" x14ac:dyDescent="0.35">
      <c r="B2" s="540" t="s">
        <v>290</v>
      </c>
      <c r="C2" s="541"/>
      <c r="D2" s="541"/>
      <c r="E2" s="541"/>
      <c r="F2" s="541"/>
      <c r="G2" s="541"/>
      <c r="H2" s="541"/>
      <c r="I2" s="541"/>
      <c r="J2" s="542"/>
      <c r="M2" s="191"/>
      <c r="N2" s="190" t="s">
        <v>295</v>
      </c>
      <c r="O2" s="546" t="s">
        <v>296</v>
      </c>
      <c r="P2" s="547"/>
    </row>
    <row r="3" spans="2:16" s="20" customFormat="1" ht="21.6" thickBot="1" x14ac:dyDescent="0.35">
      <c r="B3" s="543"/>
      <c r="C3" s="544"/>
      <c r="D3" s="544"/>
      <c r="E3" s="544"/>
      <c r="F3" s="544"/>
      <c r="G3" s="544"/>
      <c r="H3" s="544"/>
      <c r="I3" s="544"/>
      <c r="J3" s="545"/>
      <c r="L3" s="145" t="s">
        <v>73</v>
      </c>
      <c r="M3" s="145" t="s">
        <v>292</v>
      </c>
      <c r="N3" s="145" t="s">
        <v>84</v>
      </c>
      <c r="O3" s="145" t="s">
        <v>293</v>
      </c>
      <c r="P3" s="145" t="s">
        <v>294</v>
      </c>
    </row>
    <row r="4" spans="2:16" ht="21.6" thickBot="1" x14ac:dyDescent="0.35">
      <c r="B4" s="143" t="s">
        <v>66</v>
      </c>
      <c r="C4" s="144" t="s">
        <v>98</v>
      </c>
      <c r="D4" s="144" t="s">
        <v>1</v>
      </c>
      <c r="E4" s="144" t="s">
        <v>83</v>
      </c>
      <c r="F4" s="144" t="s">
        <v>291</v>
      </c>
      <c r="G4" s="144" t="s">
        <v>69</v>
      </c>
      <c r="H4" s="144" t="s">
        <v>70</v>
      </c>
      <c r="I4" s="144" t="s">
        <v>71</v>
      </c>
      <c r="J4" s="145" t="s">
        <v>72</v>
      </c>
      <c r="L4" s="102" t="s">
        <v>74</v>
      </c>
      <c r="M4" s="150" t="s">
        <v>85</v>
      </c>
      <c r="N4" s="103">
        <f>AVERAGE(6,10)</f>
        <v>8</v>
      </c>
      <c r="O4" s="150" t="s">
        <v>92</v>
      </c>
      <c r="P4" s="104">
        <f>AVERAGE(7,14)</f>
        <v>10.5</v>
      </c>
    </row>
    <row r="5" spans="2:16" ht="18" x14ac:dyDescent="0.35">
      <c r="B5" s="487" t="s">
        <v>306</v>
      </c>
      <c r="C5" s="92"/>
      <c r="D5" s="97"/>
      <c r="E5" s="92"/>
      <c r="F5" s="98"/>
      <c r="G5" s="487" t="s">
        <v>306</v>
      </c>
      <c r="H5" s="132">
        <f t="shared" ref="H5:H30" si="0">($F5/180)*$D5*$E5</f>
        <v>0</v>
      </c>
      <c r="I5" s="96">
        <f>H5*IF(G5="BONNE",1000000,IF(G5="MOYENNE",920000,840000))</f>
        <v>0</v>
      </c>
      <c r="J5" s="99">
        <f>$H5*IF($G5="BONNE",95,IF($G5="MOYENNE",80,65))</f>
        <v>0</v>
      </c>
      <c r="L5" s="105" t="s">
        <v>75</v>
      </c>
      <c r="M5" s="150" t="s">
        <v>86</v>
      </c>
      <c r="N5" s="106">
        <f>AVERAGE(6.5,11)</f>
        <v>8.75</v>
      </c>
      <c r="O5" s="150" t="s">
        <v>93</v>
      </c>
      <c r="P5" s="107">
        <f>AVERAGE(7.5,15)</f>
        <v>11.25</v>
      </c>
    </row>
    <row r="6" spans="2:16" ht="18" x14ac:dyDescent="0.35">
      <c r="B6" s="487" t="s">
        <v>306</v>
      </c>
      <c r="C6" s="92"/>
      <c r="D6" s="97"/>
      <c r="E6" s="92"/>
      <c r="F6" s="98"/>
      <c r="G6" s="487" t="s">
        <v>306</v>
      </c>
      <c r="H6" s="132">
        <f t="shared" si="0"/>
        <v>0</v>
      </c>
      <c r="I6" s="235">
        <f t="shared" ref="I6:I30" si="1">H6*IF(G6="BONNE",1000000,IF(G6="MOYENNE",920000,840000))</f>
        <v>0</v>
      </c>
      <c r="J6" s="234">
        <f t="shared" ref="J6:J30" si="2">$H6*IF($G6="BONNE",95,IF($G6="MOYENNE",80,65))</f>
        <v>0</v>
      </c>
      <c r="L6" s="105" t="s">
        <v>76</v>
      </c>
      <c r="M6" s="150" t="s">
        <v>87</v>
      </c>
      <c r="N6" s="106">
        <f>AVERAGE(6.5,11)</f>
        <v>8.75</v>
      </c>
      <c r="O6" s="150" t="s">
        <v>93</v>
      </c>
      <c r="P6" s="107">
        <f>AVERAGE(7.5,15)</f>
        <v>11.25</v>
      </c>
    </row>
    <row r="7" spans="2:16" ht="18" x14ac:dyDescent="0.35">
      <c r="B7" s="487" t="s">
        <v>306</v>
      </c>
      <c r="C7" s="92"/>
      <c r="D7" s="97"/>
      <c r="E7" s="92"/>
      <c r="F7" s="98"/>
      <c r="G7" s="487" t="s">
        <v>306</v>
      </c>
      <c r="H7" s="132">
        <f t="shared" si="0"/>
        <v>0</v>
      </c>
      <c r="I7" s="235">
        <f t="shared" si="1"/>
        <v>0</v>
      </c>
      <c r="J7" s="234">
        <f t="shared" si="2"/>
        <v>0</v>
      </c>
      <c r="L7" s="105" t="s">
        <v>298</v>
      </c>
      <c r="M7" s="150" t="s">
        <v>88</v>
      </c>
      <c r="N7" s="106">
        <f>AVERAGE(4.5,7)</f>
        <v>5.75</v>
      </c>
      <c r="O7" s="150" t="s">
        <v>94</v>
      </c>
      <c r="P7" s="107">
        <f>AVERAGE(5.5,11)</f>
        <v>8.25</v>
      </c>
    </row>
    <row r="8" spans="2:16" ht="18" x14ac:dyDescent="0.35">
      <c r="B8" s="487" t="s">
        <v>306</v>
      </c>
      <c r="C8" s="92"/>
      <c r="D8" s="97"/>
      <c r="E8" s="92"/>
      <c r="F8" s="98"/>
      <c r="G8" s="487" t="s">
        <v>306</v>
      </c>
      <c r="H8" s="132">
        <f t="shared" si="0"/>
        <v>0</v>
      </c>
      <c r="I8" s="235">
        <f t="shared" si="1"/>
        <v>0</v>
      </c>
      <c r="J8" s="234">
        <f t="shared" si="2"/>
        <v>0</v>
      </c>
      <c r="L8" s="105" t="s">
        <v>77</v>
      </c>
      <c r="M8" s="150" t="s">
        <v>89</v>
      </c>
      <c r="N8" s="106">
        <f>AVERAGE(5,8)</f>
        <v>6.5</v>
      </c>
      <c r="O8" s="150" t="s">
        <v>95</v>
      </c>
      <c r="P8" s="107">
        <f>AVERAGE(6,12)</f>
        <v>9</v>
      </c>
    </row>
    <row r="9" spans="2:16" ht="18" x14ac:dyDescent="0.35">
      <c r="B9" s="487" t="s">
        <v>306</v>
      </c>
      <c r="C9" s="92"/>
      <c r="D9" s="97"/>
      <c r="E9" s="92"/>
      <c r="F9" s="98"/>
      <c r="G9" s="487" t="s">
        <v>306</v>
      </c>
      <c r="H9" s="132">
        <f t="shared" si="0"/>
        <v>0</v>
      </c>
      <c r="I9" s="235">
        <f t="shared" si="1"/>
        <v>0</v>
      </c>
      <c r="J9" s="234">
        <f t="shared" si="2"/>
        <v>0</v>
      </c>
      <c r="L9" s="105" t="s">
        <v>78</v>
      </c>
      <c r="M9" s="150" t="s">
        <v>90</v>
      </c>
      <c r="N9" s="106">
        <f>AVERAGE(5.5,9)</f>
        <v>7.25</v>
      </c>
      <c r="O9" s="150" t="s">
        <v>96</v>
      </c>
      <c r="P9" s="107">
        <f>AVERAGE(6.5,13)</f>
        <v>9.75</v>
      </c>
    </row>
    <row r="10" spans="2:16" ht="18" x14ac:dyDescent="0.35">
      <c r="B10" s="487" t="s">
        <v>306</v>
      </c>
      <c r="C10" s="92"/>
      <c r="D10" s="97"/>
      <c r="E10" s="92"/>
      <c r="F10" s="98"/>
      <c r="G10" s="487" t="s">
        <v>306</v>
      </c>
      <c r="H10" s="132">
        <f t="shared" si="0"/>
        <v>0</v>
      </c>
      <c r="I10" s="235">
        <f t="shared" si="1"/>
        <v>0</v>
      </c>
      <c r="J10" s="234">
        <f t="shared" si="2"/>
        <v>0</v>
      </c>
      <c r="L10" s="105" t="s">
        <v>79</v>
      </c>
      <c r="M10" s="150" t="s">
        <v>86</v>
      </c>
      <c r="N10" s="106">
        <f>N6</f>
        <v>8.75</v>
      </c>
      <c r="O10" s="150" t="s">
        <v>93</v>
      </c>
      <c r="P10" s="107">
        <f>AVERAGE(7.5,15)</f>
        <v>11.25</v>
      </c>
    </row>
    <row r="11" spans="2:16" ht="18" x14ac:dyDescent="0.35">
      <c r="B11" s="487" t="s">
        <v>306</v>
      </c>
      <c r="C11" s="92"/>
      <c r="D11" s="97"/>
      <c r="E11" s="92"/>
      <c r="F11" s="98"/>
      <c r="G11" s="487" t="s">
        <v>306</v>
      </c>
      <c r="H11" s="132">
        <f t="shared" si="0"/>
        <v>0</v>
      </c>
      <c r="I11" s="235">
        <f t="shared" si="1"/>
        <v>0</v>
      </c>
      <c r="J11" s="234">
        <f t="shared" si="2"/>
        <v>0</v>
      </c>
      <c r="L11" s="105" t="s">
        <v>80</v>
      </c>
      <c r="M11" s="150" t="s">
        <v>86</v>
      </c>
      <c r="N11" s="106">
        <f>N10</f>
        <v>8.75</v>
      </c>
      <c r="O11" s="150" t="s">
        <v>93</v>
      </c>
      <c r="P11" s="107">
        <f>P10</f>
        <v>11.25</v>
      </c>
    </row>
    <row r="12" spans="2:16" ht="18" x14ac:dyDescent="0.35">
      <c r="B12" s="487" t="s">
        <v>306</v>
      </c>
      <c r="C12" s="92"/>
      <c r="D12" s="97"/>
      <c r="E12" s="92"/>
      <c r="F12" s="98"/>
      <c r="G12" s="487" t="s">
        <v>306</v>
      </c>
      <c r="H12" s="132">
        <f t="shared" si="0"/>
        <v>0</v>
      </c>
      <c r="I12" s="235">
        <f t="shared" si="1"/>
        <v>0</v>
      </c>
      <c r="J12" s="234">
        <f t="shared" si="2"/>
        <v>0</v>
      </c>
      <c r="L12" s="105" t="s">
        <v>81</v>
      </c>
      <c r="M12" s="150" t="s">
        <v>91</v>
      </c>
      <c r="N12" s="108">
        <f>N13</f>
        <v>9</v>
      </c>
      <c r="O12" s="150" t="s">
        <v>97</v>
      </c>
      <c r="P12" s="107">
        <f>AVERAGE(8,16)</f>
        <v>12</v>
      </c>
    </row>
    <row r="13" spans="2:16" ht="18.600000000000001" thickBot="1" x14ac:dyDescent="0.4">
      <c r="B13" s="487" t="s">
        <v>306</v>
      </c>
      <c r="C13" s="92"/>
      <c r="D13" s="97"/>
      <c r="E13" s="92"/>
      <c r="F13" s="98"/>
      <c r="G13" s="487" t="s">
        <v>306</v>
      </c>
      <c r="H13" s="132">
        <f t="shared" si="0"/>
        <v>0</v>
      </c>
      <c r="I13" s="235">
        <f t="shared" si="1"/>
        <v>0</v>
      </c>
      <c r="J13" s="234">
        <f t="shared" si="2"/>
        <v>0</v>
      </c>
      <c r="L13" s="109" t="s">
        <v>82</v>
      </c>
      <c r="M13" s="150" t="s">
        <v>91</v>
      </c>
      <c r="N13" s="110">
        <f>AVERAGE(7,11)</f>
        <v>9</v>
      </c>
      <c r="O13" s="150" t="s">
        <v>97</v>
      </c>
      <c r="P13" s="111">
        <f>AVERAGE(8,16)</f>
        <v>12</v>
      </c>
    </row>
    <row r="14" spans="2:16" ht="18" x14ac:dyDescent="0.35">
      <c r="B14" s="487" t="s">
        <v>306</v>
      </c>
      <c r="C14" s="92"/>
      <c r="D14" s="97"/>
      <c r="E14" s="92"/>
      <c r="F14" s="98"/>
      <c r="G14" s="487" t="s">
        <v>306</v>
      </c>
      <c r="H14" s="132">
        <f t="shared" si="0"/>
        <v>0</v>
      </c>
      <c r="I14" s="235">
        <f t="shared" si="1"/>
        <v>0</v>
      </c>
      <c r="J14" s="234">
        <f t="shared" si="2"/>
        <v>0</v>
      </c>
    </row>
    <row r="15" spans="2:16" ht="18" x14ac:dyDescent="0.35">
      <c r="B15" s="487" t="s">
        <v>306</v>
      </c>
      <c r="C15" s="92"/>
      <c r="D15" s="97"/>
      <c r="E15" s="92"/>
      <c r="F15" s="98"/>
      <c r="G15" s="487" t="s">
        <v>306</v>
      </c>
      <c r="H15" s="132">
        <f t="shared" si="0"/>
        <v>0</v>
      </c>
      <c r="I15" s="235">
        <f t="shared" si="1"/>
        <v>0</v>
      </c>
      <c r="J15" s="234">
        <f t="shared" si="2"/>
        <v>0</v>
      </c>
    </row>
    <row r="16" spans="2:16" ht="18" x14ac:dyDescent="0.35">
      <c r="B16" s="487" t="s">
        <v>306</v>
      </c>
      <c r="C16" s="92"/>
      <c r="D16" s="97"/>
      <c r="E16" s="92"/>
      <c r="F16" s="98"/>
      <c r="G16" s="487" t="s">
        <v>306</v>
      </c>
      <c r="H16" s="132">
        <f t="shared" si="0"/>
        <v>0</v>
      </c>
      <c r="I16" s="235">
        <f t="shared" si="1"/>
        <v>0</v>
      </c>
      <c r="J16" s="234">
        <f t="shared" si="2"/>
        <v>0</v>
      </c>
    </row>
    <row r="17" spans="2:10" ht="18" x14ac:dyDescent="0.35">
      <c r="B17" s="487" t="s">
        <v>306</v>
      </c>
      <c r="C17" s="92"/>
      <c r="D17" s="97"/>
      <c r="E17" s="92"/>
      <c r="F17" s="98"/>
      <c r="G17" s="487" t="s">
        <v>306</v>
      </c>
      <c r="H17" s="132">
        <f t="shared" si="0"/>
        <v>0</v>
      </c>
      <c r="I17" s="235">
        <f t="shared" si="1"/>
        <v>0</v>
      </c>
      <c r="J17" s="234">
        <f t="shared" si="2"/>
        <v>0</v>
      </c>
    </row>
    <row r="18" spans="2:10" ht="18" x14ac:dyDescent="0.35">
      <c r="B18" s="487" t="s">
        <v>306</v>
      </c>
      <c r="C18" s="92"/>
      <c r="D18" s="97"/>
      <c r="E18" s="92"/>
      <c r="F18" s="98"/>
      <c r="G18" s="487" t="s">
        <v>306</v>
      </c>
      <c r="H18" s="132">
        <f t="shared" si="0"/>
        <v>0</v>
      </c>
      <c r="I18" s="235">
        <f t="shared" si="1"/>
        <v>0</v>
      </c>
      <c r="J18" s="234">
        <f t="shared" si="2"/>
        <v>0</v>
      </c>
    </row>
    <row r="19" spans="2:10" ht="18" x14ac:dyDescent="0.35">
      <c r="B19" s="487" t="s">
        <v>306</v>
      </c>
      <c r="C19" s="92"/>
      <c r="D19" s="97"/>
      <c r="E19" s="92"/>
      <c r="F19" s="98"/>
      <c r="G19" s="487" t="s">
        <v>306</v>
      </c>
      <c r="H19" s="132">
        <f t="shared" si="0"/>
        <v>0</v>
      </c>
      <c r="I19" s="235">
        <f t="shared" si="1"/>
        <v>0</v>
      </c>
      <c r="J19" s="234">
        <f t="shared" si="2"/>
        <v>0</v>
      </c>
    </row>
    <row r="20" spans="2:10" ht="18" x14ac:dyDescent="0.35">
      <c r="B20" s="487" t="s">
        <v>306</v>
      </c>
      <c r="C20" s="92"/>
      <c r="D20" s="97"/>
      <c r="E20" s="92"/>
      <c r="F20" s="98"/>
      <c r="G20" s="487" t="s">
        <v>306</v>
      </c>
      <c r="H20" s="132">
        <f t="shared" si="0"/>
        <v>0</v>
      </c>
      <c r="I20" s="235">
        <f t="shared" si="1"/>
        <v>0</v>
      </c>
      <c r="J20" s="234">
        <f t="shared" si="2"/>
        <v>0</v>
      </c>
    </row>
    <row r="21" spans="2:10" ht="18" x14ac:dyDescent="0.35">
      <c r="B21" s="487" t="s">
        <v>306</v>
      </c>
      <c r="C21" s="92"/>
      <c r="D21" s="97"/>
      <c r="E21" s="92"/>
      <c r="F21" s="98"/>
      <c r="G21" s="487" t="s">
        <v>306</v>
      </c>
      <c r="H21" s="132">
        <f t="shared" si="0"/>
        <v>0</v>
      </c>
      <c r="I21" s="235">
        <f t="shared" si="1"/>
        <v>0</v>
      </c>
      <c r="J21" s="234">
        <f t="shared" si="2"/>
        <v>0</v>
      </c>
    </row>
    <row r="22" spans="2:10" ht="18" x14ac:dyDescent="0.35">
      <c r="B22" s="487" t="s">
        <v>306</v>
      </c>
      <c r="C22" s="92"/>
      <c r="D22" s="97"/>
      <c r="E22" s="92"/>
      <c r="F22" s="98"/>
      <c r="G22" s="487" t="s">
        <v>306</v>
      </c>
      <c r="H22" s="132">
        <f t="shared" si="0"/>
        <v>0</v>
      </c>
      <c r="I22" s="235">
        <f t="shared" si="1"/>
        <v>0</v>
      </c>
      <c r="J22" s="234">
        <f t="shared" si="2"/>
        <v>0</v>
      </c>
    </row>
    <row r="23" spans="2:10" ht="18" x14ac:dyDescent="0.35">
      <c r="B23" s="487" t="s">
        <v>306</v>
      </c>
      <c r="C23" s="92"/>
      <c r="D23" s="97"/>
      <c r="E23" s="92"/>
      <c r="F23" s="98"/>
      <c r="G23" s="487" t="s">
        <v>306</v>
      </c>
      <c r="H23" s="132">
        <f t="shared" si="0"/>
        <v>0</v>
      </c>
      <c r="I23" s="235">
        <f t="shared" si="1"/>
        <v>0</v>
      </c>
      <c r="J23" s="234">
        <f t="shared" si="2"/>
        <v>0</v>
      </c>
    </row>
    <row r="24" spans="2:10" ht="18" x14ac:dyDescent="0.35">
      <c r="B24" s="487" t="s">
        <v>306</v>
      </c>
      <c r="C24" s="92"/>
      <c r="D24" s="97"/>
      <c r="E24" s="92"/>
      <c r="F24" s="98"/>
      <c r="G24" s="487" t="s">
        <v>306</v>
      </c>
      <c r="H24" s="132">
        <f t="shared" si="0"/>
        <v>0</v>
      </c>
      <c r="I24" s="235">
        <f t="shared" si="1"/>
        <v>0</v>
      </c>
      <c r="J24" s="234">
        <f t="shared" si="2"/>
        <v>0</v>
      </c>
    </row>
    <row r="25" spans="2:10" ht="18" x14ac:dyDescent="0.35">
      <c r="B25" s="487" t="s">
        <v>306</v>
      </c>
      <c r="C25" s="92"/>
      <c r="D25" s="97"/>
      <c r="E25" s="92"/>
      <c r="F25" s="98"/>
      <c r="G25" s="487" t="s">
        <v>306</v>
      </c>
      <c r="H25" s="132">
        <f t="shared" si="0"/>
        <v>0</v>
      </c>
      <c r="I25" s="235">
        <f t="shared" si="1"/>
        <v>0</v>
      </c>
      <c r="J25" s="234">
        <f t="shared" si="2"/>
        <v>0</v>
      </c>
    </row>
    <row r="26" spans="2:10" ht="18" x14ac:dyDescent="0.35">
      <c r="B26" s="487" t="s">
        <v>306</v>
      </c>
      <c r="C26" s="92"/>
      <c r="D26" s="97"/>
      <c r="E26" s="92"/>
      <c r="F26" s="98"/>
      <c r="G26" s="487" t="s">
        <v>306</v>
      </c>
      <c r="H26" s="132">
        <f t="shared" si="0"/>
        <v>0</v>
      </c>
      <c r="I26" s="235">
        <f t="shared" si="1"/>
        <v>0</v>
      </c>
      <c r="J26" s="234">
        <f t="shared" si="2"/>
        <v>0</v>
      </c>
    </row>
    <row r="27" spans="2:10" ht="18" x14ac:dyDescent="0.35">
      <c r="B27" s="487" t="s">
        <v>306</v>
      </c>
      <c r="C27" s="92"/>
      <c r="D27" s="97"/>
      <c r="E27" s="92"/>
      <c r="F27" s="98"/>
      <c r="G27" s="487" t="s">
        <v>306</v>
      </c>
      <c r="H27" s="132">
        <f t="shared" si="0"/>
        <v>0</v>
      </c>
      <c r="I27" s="235">
        <f t="shared" si="1"/>
        <v>0</v>
      </c>
      <c r="J27" s="234">
        <f t="shared" si="2"/>
        <v>0</v>
      </c>
    </row>
    <row r="28" spans="2:10" ht="18" x14ac:dyDescent="0.35">
      <c r="B28" s="487" t="s">
        <v>306</v>
      </c>
      <c r="C28" s="92"/>
      <c r="D28" s="97"/>
      <c r="E28" s="92"/>
      <c r="F28" s="98"/>
      <c r="G28" s="487" t="s">
        <v>306</v>
      </c>
      <c r="H28" s="132">
        <f t="shared" si="0"/>
        <v>0</v>
      </c>
      <c r="I28" s="233">
        <f>H28*IF(G28="BONNE",1000000,IF(G28="MOYENNE",920000,840000))</f>
        <v>0</v>
      </c>
      <c r="J28" s="100">
        <f t="shared" si="2"/>
        <v>0</v>
      </c>
    </row>
    <row r="29" spans="2:10" ht="18" x14ac:dyDescent="0.35">
      <c r="B29" s="487" t="s">
        <v>306</v>
      </c>
      <c r="C29" s="92"/>
      <c r="D29" s="97"/>
      <c r="E29" s="92"/>
      <c r="F29" s="98"/>
      <c r="G29" s="487" t="s">
        <v>306</v>
      </c>
      <c r="H29" s="132">
        <f t="shared" si="0"/>
        <v>0</v>
      </c>
      <c r="I29" s="233">
        <f t="shared" si="1"/>
        <v>0</v>
      </c>
      <c r="J29" s="100">
        <f t="shared" si="2"/>
        <v>0</v>
      </c>
    </row>
    <row r="30" spans="2:10" ht="18.600000000000001" thickBot="1" x14ac:dyDescent="0.4">
      <c r="B30" s="487" t="s">
        <v>306</v>
      </c>
      <c r="C30" s="92"/>
      <c r="D30" s="97"/>
      <c r="E30" s="92"/>
      <c r="F30" s="98"/>
      <c r="G30" s="487" t="s">
        <v>306</v>
      </c>
      <c r="H30" s="132">
        <f t="shared" si="0"/>
        <v>0</v>
      </c>
      <c r="I30" s="232">
        <f t="shared" si="1"/>
        <v>0</v>
      </c>
      <c r="J30" s="101">
        <f t="shared" si="2"/>
        <v>0</v>
      </c>
    </row>
    <row r="31" spans="2:10" ht="21.6" thickBot="1" x14ac:dyDescent="0.35">
      <c r="B31" s="143" t="s">
        <v>67</v>
      </c>
      <c r="C31" s="144"/>
      <c r="D31" s="146">
        <f>SUM(D5:D30)</f>
        <v>0</v>
      </c>
      <c r="E31" s="144"/>
      <c r="F31" s="144"/>
      <c r="G31" s="144"/>
      <c r="H31" s="147">
        <f>SUM(H5:H30)</f>
        <v>0</v>
      </c>
      <c r="I31" s="148">
        <f>SUM(I5:I30)</f>
        <v>0</v>
      </c>
      <c r="J31" s="149">
        <f>SUM(J5:J30)</f>
        <v>0</v>
      </c>
    </row>
  </sheetData>
  <sheetProtection sheet="1" formatColumns="0" selectLockedCells="1"/>
  <mergeCells count="2">
    <mergeCell ref="B2:J3"/>
    <mergeCell ref="O2:P2"/>
  </mergeCells>
  <dataValidations count="2">
    <dataValidation type="list" allowBlank="1" showInputMessage="1" showErrorMessage="1" sqref="G5:G30">
      <formula1>"Choisir,Bonne,Moyenne,Médiocre"</formula1>
    </dataValidation>
    <dataValidation type="list" allowBlank="1" showInputMessage="1" showErrorMessage="1" sqref="B5:B30">
      <formula1>"Choisir,Prairie permanente,Prairie temporaire"</formula1>
    </dataValidation>
  </dataValidations>
  <pageMargins left="0.7" right="0.7" top="0.75" bottom="0.75" header="0.3" footer="0.3"/>
  <pageSetup paperSize="9" orientation="portrait" r:id="rId1"/>
  <legacy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9"/>
  </sheetPr>
  <dimension ref="B1:I16"/>
  <sheetViews>
    <sheetView showGridLines="0" zoomScale="80" zoomScaleNormal="80" workbookViewId="0">
      <selection activeCell="F8" sqref="F8"/>
    </sheetView>
  </sheetViews>
  <sheetFormatPr baseColWidth="10" defaultRowHeight="14.4" x14ac:dyDescent="0.3"/>
  <cols>
    <col min="1" max="1" width="0.33203125" customWidth="1"/>
    <col min="2" max="2" width="33.77734375" customWidth="1"/>
    <col min="3" max="3" width="19.33203125" customWidth="1"/>
    <col min="4" max="4" width="11.88671875" customWidth="1"/>
    <col min="5" max="5" width="24.5546875" bestFit="1" customWidth="1"/>
    <col min="6" max="6" width="41.44140625" customWidth="1"/>
    <col min="7" max="7" width="42.5546875" customWidth="1"/>
    <col min="8" max="8" width="39.109375" customWidth="1"/>
    <col min="9" max="9" width="40.88671875" bestFit="1" customWidth="1"/>
  </cols>
  <sheetData>
    <row r="1" spans="2:9" s="20" customFormat="1" ht="21.6" customHeight="1" x14ac:dyDescent="0.3"/>
    <row r="2" spans="2:9" ht="26.4" thickBot="1" x14ac:dyDescent="0.55000000000000004">
      <c r="B2" s="548" t="s">
        <v>297</v>
      </c>
      <c r="C2" s="549"/>
      <c r="D2" s="549"/>
      <c r="E2" s="549"/>
      <c r="F2" s="549"/>
      <c r="G2" s="549"/>
      <c r="H2" s="549"/>
      <c r="I2" s="549"/>
    </row>
    <row r="3" spans="2:9" ht="21.6" thickBot="1" x14ac:dyDescent="0.35">
      <c r="B3" s="192" t="s">
        <v>146</v>
      </c>
      <c r="C3" s="193" t="s">
        <v>55</v>
      </c>
      <c r="D3" s="193" t="s">
        <v>59</v>
      </c>
      <c r="E3" s="194" t="s">
        <v>58</v>
      </c>
      <c r="F3" s="194" t="s">
        <v>354</v>
      </c>
      <c r="G3" s="195" t="s">
        <v>276</v>
      </c>
      <c r="H3" s="196" t="s">
        <v>349</v>
      </c>
      <c r="I3" s="197" t="s">
        <v>277</v>
      </c>
    </row>
    <row r="4" spans="2:9" ht="18.600000000000001" thickBot="1" x14ac:dyDescent="0.35">
      <c r="B4" s="122" t="s">
        <v>302</v>
      </c>
      <c r="C4" s="113"/>
      <c r="D4" s="114"/>
      <c r="E4" s="125">
        <f>$C4*$D4</f>
        <v>0</v>
      </c>
      <c r="F4" s="464"/>
      <c r="G4" s="128">
        <f>Tableau51011121510[[#This Row],[VEM/kg de MS]]*Tableau51011121510[[#This Row],[ T de MS]]*1000</f>
        <v>0</v>
      </c>
      <c r="H4" s="119"/>
      <c r="I4" s="129">
        <f>Tableau51011121510[[#This Row],[g de DVE/kg de MS]]*Tableau51011121510[[#This Row],[ T de MS]]</f>
        <v>0</v>
      </c>
    </row>
    <row r="5" spans="2:9" ht="18.600000000000001" thickBot="1" x14ac:dyDescent="0.35">
      <c r="B5" s="123" t="s">
        <v>147</v>
      </c>
      <c r="C5" s="115"/>
      <c r="D5" s="116"/>
      <c r="E5" s="126">
        <f t="shared" ref="E5:E10" si="0">$C5*$D5</f>
        <v>0</v>
      </c>
      <c r="F5" s="465"/>
      <c r="G5" s="128">
        <f>Tableau51011121510[[#This Row],[VEM/kg de MS]]*Tableau51011121510[[#This Row],[ T de MS]]*1000</f>
        <v>0</v>
      </c>
      <c r="H5" s="120"/>
      <c r="I5" s="130">
        <f>Tableau51011121510[[#This Row],[g de DVE/kg de MS]]*Tableau51011121510[[#This Row],[ T de MS]]</f>
        <v>0</v>
      </c>
    </row>
    <row r="6" spans="2:9" ht="18.600000000000001" thickBot="1" x14ac:dyDescent="0.35">
      <c r="B6" s="123" t="s">
        <v>133</v>
      </c>
      <c r="C6" s="115"/>
      <c r="D6" s="116"/>
      <c r="E6" s="126">
        <f t="shared" si="0"/>
        <v>0</v>
      </c>
      <c r="F6" s="465"/>
      <c r="G6" s="128">
        <f>Tableau51011121510[[#This Row],[VEM/kg de MS]]*Tableau51011121510[[#This Row],[ T de MS]]*1000</f>
        <v>0</v>
      </c>
      <c r="H6" s="120"/>
      <c r="I6" s="130">
        <f>Tableau51011121510[[#This Row],[g de DVE/kg de MS]]*Tableau51011121510[[#This Row],[ T de MS]]</f>
        <v>0</v>
      </c>
    </row>
    <row r="7" spans="2:9" ht="18.600000000000001" thickBot="1" x14ac:dyDescent="0.35">
      <c r="B7" s="123" t="s">
        <v>134</v>
      </c>
      <c r="C7" s="115"/>
      <c r="D7" s="116"/>
      <c r="E7" s="126">
        <f>$C7*$D7</f>
        <v>0</v>
      </c>
      <c r="F7" s="465"/>
      <c r="G7" s="128">
        <f>Tableau51011121510[[#This Row],[VEM/kg de MS]]*Tableau51011121510[[#This Row],[ T de MS]]*1000</f>
        <v>0</v>
      </c>
      <c r="H7" s="120"/>
      <c r="I7" s="130">
        <f>Tableau51011121510[[#This Row],[g de DVE/kg de MS]]*Tableau51011121510[[#This Row],[ T de MS]]</f>
        <v>0</v>
      </c>
    </row>
    <row r="8" spans="2:9" ht="18.600000000000001" thickBot="1" x14ac:dyDescent="0.35">
      <c r="B8" s="123" t="s">
        <v>120</v>
      </c>
      <c r="C8" s="115"/>
      <c r="D8" s="116"/>
      <c r="E8" s="126">
        <f t="shared" si="0"/>
        <v>0</v>
      </c>
      <c r="F8" s="465"/>
      <c r="G8" s="128">
        <f>Tableau51011121510[[#This Row],[VEM/kg de MS]]*Tableau51011121510[[#This Row],[ T de MS]]*1000</f>
        <v>0</v>
      </c>
      <c r="H8" s="120"/>
      <c r="I8" s="130">
        <f>Tableau51011121510[[#This Row],[g de DVE/kg de MS]]*Tableau51011121510[[#This Row],[ T de MS]]</f>
        <v>0</v>
      </c>
    </row>
    <row r="9" spans="2:9" ht="18.600000000000001" thickBot="1" x14ac:dyDescent="0.35">
      <c r="B9" s="123" t="s">
        <v>4</v>
      </c>
      <c r="C9" s="115"/>
      <c r="D9" s="116"/>
      <c r="E9" s="126">
        <f t="shared" si="0"/>
        <v>0</v>
      </c>
      <c r="F9" s="465"/>
      <c r="G9" s="128">
        <f>Tableau51011121510[[#This Row],[VEM/kg de MS]]*Tableau51011121510[[#This Row],[ T de MS]]*1000</f>
        <v>0</v>
      </c>
      <c r="H9" s="120"/>
      <c r="I9" s="130">
        <f>Tableau51011121510[[#This Row],[g de DVE/kg de MS]]*Tableau51011121510[[#This Row],[ T de MS]]</f>
        <v>0</v>
      </c>
    </row>
    <row r="10" spans="2:9" ht="18.600000000000001" thickBot="1" x14ac:dyDescent="0.35">
      <c r="B10" s="124" t="s">
        <v>258</v>
      </c>
      <c r="C10" s="117"/>
      <c r="D10" s="118"/>
      <c r="E10" s="127">
        <f t="shared" si="0"/>
        <v>0</v>
      </c>
      <c r="F10" s="466"/>
      <c r="G10" s="128">
        <f>Tableau51011121510[[#This Row],[VEM/kg de MS]]*Tableau51011121510[[#This Row],[ T de MS]]*1000</f>
        <v>0</v>
      </c>
      <c r="H10" s="121"/>
      <c r="I10" s="131">
        <f>Tableau51011121510[[#This Row],[g de DVE/kg de MS]]*Tableau51011121510[[#This Row],[ T de MS]]</f>
        <v>0</v>
      </c>
    </row>
    <row r="11" spans="2:9" ht="21.6" thickBot="1" x14ac:dyDescent="0.35">
      <c r="B11" s="198" t="s">
        <v>5</v>
      </c>
      <c r="C11" s="199">
        <f>SUM(C4:C10)</f>
        <v>0</v>
      </c>
      <c r="D11" s="199"/>
      <c r="E11" s="200">
        <f>SUM(E4:E10)</f>
        <v>0</v>
      </c>
      <c r="F11" s="201"/>
      <c r="G11" s="202">
        <f>SUM(G4:G10)</f>
        <v>0</v>
      </c>
      <c r="H11" s="203"/>
      <c r="I11" s="204">
        <f>SUM(I4:I10)</f>
        <v>0</v>
      </c>
    </row>
    <row r="16" spans="2:9" x14ac:dyDescent="0.3">
      <c r="B16" s="112"/>
    </row>
  </sheetData>
  <sheetProtection sheet="1" formatColumns="0" selectLockedCells="1"/>
  <mergeCells count="1">
    <mergeCell ref="B2:I2"/>
  </mergeCells>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9" tint="-0.499984740745262"/>
  </sheetPr>
  <dimension ref="B1:C5"/>
  <sheetViews>
    <sheetView showGridLines="0" zoomScaleNormal="100" workbookViewId="0">
      <selection activeCell="F19" sqref="F19"/>
    </sheetView>
  </sheetViews>
  <sheetFormatPr baseColWidth="10" defaultRowHeight="14.4" x14ac:dyDescent="0.3"/>
  <cols>
    <col min="1" max="1" width="51.5546875" customWidth="1"/>
    <col min="2" max="2" width="22.77734375" customWidth="1"/>
    <col min="3" max="3" width="36.33203125" customWidth="1"/>
  </cols>
  <sheetData>
    <row r="1" spans="2:3" s="20" customFormat="1" ht="52.2" customHeight="1" thickBot="1" x14ac:dyDescent="0.35"/>
    <row r="2" spans="2:3" ht="26.4" thickBot="1" x14ac:dyDescent="0.55000000000000004">
      <c r="B2" s="556" t="s">
        <v>299</v>
      </c>
      <c r="C2" s="557"/>
    </row>
    <row r="3" spans="2:3" ht="25.8" x14ac:dyDescent="0.5">
      <c r="B3" s="552">
        <f>'② Récolte'!H104+'③ Pâturage'!H31+'④ Stock'!E11</f>
        <v>0</v>
      </c>
      <c r="C3" s="553"/>
    </row>
    <row r="4" spans="2:3" ht="25.8" x14ac:dyDescent="0.5">
      <c r="B4" s="550">
        <f>'② Récolte'!J104+'③ Pâturage'!I31+'④ Stock'!G11</f>
        <v>0</v>
      </c>
      <c r="C4" s="551"/>
    </row>
    <row r="5" spans="2:3" ht="26.4" thickBot="1" x14ac:dyDescent="0.55000000000000004">
      <c r="B5" s="554">
        <f>'② Récolte'!L104+'③ Pâturage'!J31+'④ Stock'!I11</f>
        <v>0</v>
      </c>
      <c r="C5" s="555"/>
    </row>
  </sheetData>
  <sheetProtection sheet="1" formatColumns="0" selectLockedCells="1"/>
  <mergeCells count="4">
    <mergeCell ref="B4:C4"/>
    <mergeCell ref="B3:C3"/>
    <mergeCell ref="B5:C5"/>
    <mergeCell ref="B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5" tint="0.39997558519241921"/>
  </sheetPr>
  <dimension ref="B1:L24"/>
  <sheetViews>
    <sheetView showGridLines="0" zoomScale="70" zoomScaleNormal="70" workbookViewId="0">
      <selection activeCell="F11" sqref="F11"/>
    </sheetView>
  </sheetViews>
  <sheetFormatPr baseColWidth="10" defaultRowHeight="14.4" x14ac:dyDescent="0.3"/>
  <cols>
    <col min="1" max="1" width="0.6640625" customWidth="1"/>
    <col min="2" max="2" width="49" bestFit="1" customWidth="1"/>
    <col min="3" max="3" width="23.77734375" bestFit="1" customWidth="1"/>
    <col min="4" max="4" width="35.109375" style="3" customWidth="1"/>
    <col min="5" max="5" width="21.77734375" customWidth="1"/>
    <col min="6" max="6" width="33.109375" style="5" customWidth="1"/>
    <col min="7" max="7" width="46.6640625" style="5" customWidth="1"/>
    <col min="8" max="8" width="32.109375" style="5" customWidth="1"/>
    <col min="9" max="9" width="36.21875" style="5" customWidth="1"/>
    <col min="10" max="10" width="35.77734375" customWidth="1"/>
    <col min="11" max="11" width="46.44140625" customWidth="1"/>
    <col min="12" max="12" width="44" bestFit="1" customWidth="1"/>
  </cols>
  <sheetData>
    <row r="1" spans="2:12" s="20" customFormat="1" ht="3.6" customHeight="1" thickBot="1" x14ac:dyDescent="0.35"/>
    <row r="2" spans="2:12" ht="26.4" thickBot="1" x14ac:dyDescent="0.55000000000000004">
      <c r="B2" s="556" t="s">
        <v>300</v>
      </c>
      <c r="C2" s="558"/>
      <c r="D2" s="558"/>
      <c r="E2" s="558"/>
      <c r="F2" s="558"/>
      <c r="G2" s="558"/>
      <c r="H2" s="558"/>
      <c r="I2" s="558"/>
      <c r="J2" s="558"/>
      <c r="K2" s="558"/>
      <c r="L2" s="557"/>
    </row>
    <row r="3" spans="2:12" ht="21.6" thickBot="1" x14ac:dyDescent="0.45">
      <c r="B3" s="157" t="s">
        <v>245</v>
      </c>
      <c r="C3" s="158" t="s">
        <v>19</v>
      </c>
      <c r="D3" s="159" t="s">
        <v>352</v>
      </c>
      <c r="E3" s="159" t="s">
        <v>22</v>
      </c>
      <c r="F3" s="159" t="s">
        <v>35</v>
      </c>
      <c r="G3" s="159" t="s">
        <v>29</v>
      </c>
      <c r="H3" s="159" t="s">
        <v>301</v>
      </c>
      <c r="I3" s="159" t="s">
        <v>243</v>
      </c>
      <c r="J3" s="159" t="s">
        <v>30</v>
      </c>
      <c r="K3" s="188" t="s">
        <v>31</v>
      </c>
      <c r="L3" s="189" t="s">
        <v>32</v>
      </c>
    </row>
    <row r="4" spans="2:12" ht="18" x14ac:dyDescent="0.35">
      <c r="B4" s="171" t="s">
        <v>25</v>
      </c>
      <c r="C4" s="115"/>
      <c r="D4" s="175">
        <v>1</v>
      </c>
      <c r="E4" s="176">
        <f>$C4*$D4</f>
        <v>0</v>
      </c>
      <c r="F4" s="151"/>
      <c r="G4" s="154"/>
      <c r="H4" s="155"/>
      <c r="I4" s="155"/>
      <c r="J4" s="162">
        <f>(1.4*(($F4/100)+2)+(0.37*$G4))*$C4*365</f>
        <v>0</v>
      </c>
      <c r="K4" s="163">
        <f>(((6.45*$F4+1265)+(442*(0.337+(0.116*$H4)+(0.06*$I4))*$G4))*IF(G4&gt;15,(1+(0.00165*(((0.337+(0.116*$H4)+(0.06*$I4))*$G4)-15))),1))*$C4*365</f>
        <v>0</v>
      </c>
      <c r="L4" s="164">
        <f>(($F4/10)+54+(1.396*($G4*$I4*10))+(0.000195*(($G4*$I4*10)*($G4*$I4*10))))*$C4*365</f>
        <v>0</v>
      </c>
    </row>
    <row r="5" spans="2:12" ht="18" x14ac:dyDescent="0.35">
      <c r="B5" s="172" t="s">
        <v>20</v>
      </c>
      <c r="C5" s="115"/>
      <c r="D5" s="177">
        <v>1</v>
      </c>
      <c r="E5" s="176">
        <f t="shared" ref="E5:E16" si="0">$C5*$D5</f>
        <v>0</v>
      </c>
      <c r="F5" s="152"/>
      <c r="G5" s="156"/>
      <c r="H5" s="155"/>
      <c r="I5" s="155"/>
      <c r="J5" s="162">
        <f>(1.4*(($F5/100)+2)+(0.37*$G5))*$C5*365</f>
        <v>0</v>
      </c>
      <c r="K5" s="163">
        <f>(((6.45*$F5+1265)+(442*(0.337+(0.116*$H5)+(0.06*$I5))*$G5))*IF(G5&gt;15,(1+(0.00165*(((0.337+(0.116*$H5)+(0.06*$I5))*$G5)-15))),1))*$C5*365</f>
        <v>0</v>
      </c>
      <c r="L5" s="164">
        <f>(($F5/10)+54+(1.396*($G5*$I5*10))+(0.000195*(($G5*$I5*10)^2)))*$C5*365</f>
        <v>0</v>
      </c>
    </row>
    <row r="6" spans="2:12" s="5" customFormat="1" ht="18" x14ac:dyDescent="0.35">
      <c r="B6" s="172" t="s">
        <v>33</v>
      </c>
      <c r="C6" s="115"/>
      <c r="D6" s="177">
        <v>0.85</v>
      </c>
      <c r="E6" s="176">
        <f t="shared" si="0"/>
        <v>0</v>
      </c>
      <c r="F6" s="152"/>
      <c r="G6" s="167" t="s">
        <v>26</v>
      </c>
      <c r="H6" s="168" t="s">
        <v>26</v>
      </c>
      <c r="I6" s="168" t="s">
        <v>26</v>
      </c>
      <c r="J6" s="162">
        <f>((1.4*(($F6/100)+2))-1.5)*$C6*365</f>
        <v>0</v>
      </c>
      <c r="K6" s="163">
        <f>((6.45*$F6)+1500)*$C6*365</f>
        <v>0</v>
      </c>
      <c r="L6" s="165">
        <f>(($F6/10)+177)*$C6*365</f>
        <v>0</v>
      </c>
    </row>
    <row r="7" spans="2:12" ht="18" x14ac:dyDescent="0.35">
      <c r="B7" s="172" t="s">
        <v>34</v>
      </c>
      <c r="C7" s="115"/>
      <c r="D7" s="178">
        <v>0.85</v>
      </c>
      <c r="E7" s="176">
        <f t="shared" si="0"/>
        <v>0</v>
      </c>
      <c r="F7" s="152"/>
      <c r="G7" s="169" t="s">
        <v>26</v>
      </c>
      <c r="H7" s="169" t="s">
        <v>26</v>
      </c>
      <c r="I7" s="169" t="s">
        <v>26</v>
      </c>
      <c r="J7" s="162">
        <f>((1.4*(($F7/100)+2))-1.5)*$C7*365</f>
        <v>0</v>
      </c>
      <c r="K7" s="163">
        <f>((6.45*$F7)+1500)*$C7*365</f>
        <v>0</v>
      </c>
      <c r="L7" s="165">
        <f>(($F7/10)+177)*$C7*365</f>
        <v>0</v>
      </c>
    </row>
    <row r="8" spans="2:12" ht="18" x14ac:dyDescent="0.35">
      <c r="B8" s="173" t="s">
        <v>131</v>
      </c>
      <c r="C8" s="115"/>
      <c r="D8" s="178">
        <v>0.3</v>
      </c>
      <c r="E8" s="176">
        <f t="shared" si="0"/>
        <v>0</v>
      </c>
      <c r="F8" s="153"/>
      <c r="G8" s="170" t="s">
        <v>26</v>
      </c>
      <c r="H8" s="169" t="s">
        <v>26</v>
      </c>
      <c r="I8" s="169" t="s">
        <v>26</v>
      </c>
      <c r="J8" s="162">
        <f t="shared" ref="J8:J16" si="1">(1.4*(($F$5/100)+2))*$E8*365</f>
        <v>0</v>
      </c>
      <c r="K8" s="166">
        <f t="shared" ref="K8:K16" si="2">((6.45*$F$5)+1265)*$E8*365</f>
        <v>0</v>
      </c>
      <c r="L8" s="165">
        <f t="shared" ref="L8:L16" si="3">(($F$5/10)+54)*$E8*365</f>
        <v>0</v>
      </c>
    </row>
    <row r="9" spans="2:12" ht="18" x14ac:dyDescent="0.35">
      <c r="B9" s="172" t="s">
        <v>244</v>
      </c>
      <c r="C9" s="115"/>
      <c r="D9" s="178">
        <v>0.6</v>
      </c>
      <c r="E9" s="176">
        <f t="shared" si="0"/>
        <v>0</v>
      </c>
      <c r="F9" s="152"/>
      <c r="G9" s="169" t="s">
        <v>26</v>
      </c>
      <c r="H9" s="169" t="s">
        <v>26</v>
      </c>
      <c r="I9" s="169" t="s">
        <v>26</v>
      </c>
      <c r="J9" s="162">
        <f t="shared" si="1"/>
        <v>0</v>
      </c>
      <c r="K9" s="166">
        <f t="shared" si="2"/>
        <v>0</v>
      </c>
      <c r="L9" s="165">
        <f t="shared" si="3"/>
        <v>0</v>
      </c>
    </row>
    <row r="10" spans="2:12" ht="18" x14ac:dyDescent="0.35">
      <c r="B10" s="172" t="s">
        <v>23</v>
      </c>
      <c r="C10" s="115"/>
      <c r="D10" s="178">
        <v>0.8</v>
      </c>
      <c r="E10" s="176">
        <f t="shared" si="0"/>
        <v>0</v>
      </c>
      <c r="F10" s="152"/>
      <c r="G10" s="169" t="s">
        <v>26</v>
      </c>
      <c r="H10" s="169" t="s">
        <v>26</v>
      </c>
      <c r="I10" s="169" t="s">
        <v>26</v>
      </c>
      <c r="J10" s="162">
        <f t="shared" si="1"/>
        <v>0</v>
      </c>
      <c r="K10" s="166">
        <f t="shared" si="2"/>
        <v>0</v>
      </c>
      <c r="L10" s="165">
        <f t="shared" si="3"/>
        <v>0</v>
      </c>
    </row>
    <row r="11" spans="2:12" ht="18" x14ac:dyDescent="0.35">
      <c r="B11" s="172" t="s">
        <v>24</v>
      </c>
      <c r="C11" s="115"/>
      <c r="D11" s="178">
        <v>1</v>
      </c>
      <c r="E11" s="176">
        <f t="shared" si="0"/>
        <v>0</v>
      </c>
      <c r="F11" s="152"/>
      <c r="G11" s="169" t="s">
        <v>26</v>
      </c>
      <c r="H11" s="169" t="s">
        <v>26</v>
      </c>
      <c r="I11" s="169" t="s">
        <v>26</v>
      </c>
      <c r="J11" s="162">
        <f t="shared" si="1"/>
        <v>0</v>
      </c>
      <c r="K11" s="166">
        <f t="shared" si="2"/>
        <v>0</v>
      </c>
      <c r="L11" s="165">
        <f t="shared" si="3"/>
        <v>0</v>
      </c>
    </row>
    <row r="12" spans="2:12" ht="18" x14ac:dyDescent="0.35">
      <c r="B12" s="172" t="s">
        <v>17</v>
      </c>
      <c r="C12" s="115"/>
      <c r="D12" s="178">
        <v>0.3</v>
      </c>
      <c r="E12" s="176">
        <f t="shared" si="0"/>
        <v>0</v>
      </c>
      <c r="F12" s="152"/>
      <c r="G12" s="169" t="s">
        <v>26</v>
      </c>
      <c r="H12" s="169" t="s">
        <v>26</v>
      </c>
      <c r="I12" s="169" t="s">
        <v>26</v>
      </c>
      <c r="J12" s="162">
        <f t="shared" si="1"/>
        <v>0</v>
      </c>
      <c r="K12" s="166">
        <f t="shared" si="2"/>
        <v>0</v>
      </c>
      <c r="L12" s="165">
        <f t="shared" si="3"/>
        <v>0</v>
      </c>
    </row>
    <row r="13" spans="2:12" ht="18" x14ac:dyDescent="0.35">
      <c r="B13" s="172" t="s">
        <v>18</v>
      </c>
      <c r="C13" s="115"/>
      <c r="D13" s="178">
        <v>0.75</v>
      </c>
      <c r="E13" s="176">
        <f t="shared" si="0"/>
        <v>0</v>
      </c>
      <c r="F13" s="152"/>
      <c r="G13" s="169" t="s">
        <v>26</v>
      </c>
      <c r="H13" s="169" t="s">
        <v>26</v>
      </c>
      <c r="I13" s="169" t="s">
        <v>26</v>
      </c>
      <c r="J13" s="162">
        <f t="shared" si="1"/>
        <v>0</v>
      </c>
      <c r="K13" s="166">
        <f t="shared" si="2"/>
        <v>0</v>
      </c>
      <c r="L13" s="165">
        <f t="shared" si="3"/>
        <v>0</v>
      </c>
    </row>
    <row r="14" spans="2:12" ht="18" x14ac:dyDescent="0.35">
      <c r="B14" s="172" t="s">
        <v>21</v>
      </c>
      <c r="C14" s="115"/>
      <c r="D14" s="178">
        <v>0.3</v>
      </c>
      <c r="E14" s="176">
        <f t="shared" si="0"/>
        <v>0</v>
      </c>
      <c r="F14" s="152"/>
      <c r="G14" s="169" t="s">
        <v>26</v>
      </c>
      <c r="H14" s="169" t="s">
        <v>26</v>
      </c>
      <c r="I14" s="169" t="s">
        <v>26</v>
      </c>
      <c r="J14" s="162">
        <f t="shared" si="1"/>
        <v>0</v>
      </c>
      <c r="K14" s="166">
        <f t="shared" si="2"/>
        <v>0</v>
      </c>
      <c r="L14" s="165">
        <f t="shared" si="3"/>
        <v>0</v>
      </c>
    </row>
    <row r="15" spans="2:12" ht="18" x14ac:dyDescent="0.35">
      <c r="B15" s="172" t="s">
        <v>27</v>
      </c>
      <c r="C15" s="115"/>
      <c r="D15" s="178">
        <v>0.6</v>
      </c>
      <c r="E15" s="176">
        <f t="shared" si="0"/>
        <v>0</v>
      </c>
      <c r="F15" s="152"/>
      <c r="G15" s="169" t="s">
        <v>26</v>
      </c>
      <c r="H15" s="169" t="s">
        <v>26</v>
      </c>
      <c r="I15" s="169" t="s">
        <v>26</v>
      </c>
      <c r="J15" s="162">
        <f t="shared" si="1"/>
        <v>0</v>
      </c>
      <c r="K15" s="166">
        <f t="shared" si="2"/>
        <v>0</v>
      </c>
      <c r="L15" s="165">
        <f t="shared" si="3"/>
        <v>0</v>
      </c>
    </row>
    <row r="16" spans="2:12" ht="18.600000000000001" thickBot="1" x14ac:dyDescent="0.4">
      <c r="B16" s="174" t="s">
        <v>28</v>
      </c>
      <c r="C16" s="115"/>
      <c r="D16" s="178">
        <v>0.8</v>
      </c>
      <c r="E16" s="176">
        <f t="shared" si="0"/>
        <v>0</v>
      </c>
      <c r="F16" s="153"/>
      <c r="G16" s="170" t="s">
        <v>26</v>
      </c>
      <c r="H16" s="169" t="s">
        <v>26</v>
      </c>
      <c r="I16" s="169" t="s">
        <v>26</v>
      </c>
      <c r="J16" s="162">
        <f t="shared" si="1"/>
        <v>0</v>
      </c>
      <c r="K16" s="166">
        <f t="shared" si="2"/>
        <v>0</v>
      </c>
      <c r="L16" s="165">
        <f t="shared" si="3"/>
        <v>0</v>
      </c>
    </row>
    <row r="17" spans="2:12" ht="21" x14ac:dyDescent="0.4">
      <c r="B17" s="179" t="s">
        <v>5</v>
      </c>
      <c r="C17" s="180">
        <f>SUM(C4:C16)</f>
        <v>0</v>
      </c>
      <c r="D17" s="181"/>
      <c r="E17" s="182">
        <f>SUM(E4:E16)</f>
        <v>0</v>
      </c>
      <c r="F17" s="182"/>
      <c r="G17" s="183" t="str">
        <f>IF(AND(G4="",G5=""),"",AVERAGE(G4,G5))</f>
        <v/>
      </c>
      <c r="H17" s="184" t="str">
        <f>IF(AND(H4="",H5=""),"",AVERAGE(H4:H5))</f>
        <v/>
      </c>
      <c r="I17" s="184" t="str">
        <f>IF(AND(I4="",I5=""),"",AVERAGE(I4:I5))</f>
        <v/>
      </c>
      <c r="J17" s="185">
        <f>SUM(J4:J16)</f>
        <v>0</v>
      </c>
      <c r="K17" s="186">
        <f>SUM(K4:K16)</f>
        <v>0</v>
      </c>
      <c r="L17" s="187">
        <f>SUM(L4:L16)</f>
        <v>0</v>
      </c>
    </row>
    <row r="18" spans="2:12" x14ac:dyDescent="0.3">
      <c r="B18" s="4"/>
    </row>
    <row r="22" spans="2:12" x14ac:dyDescent="0.3">
      <c r="D22"/>
      <c r="E22" s="3"/>
    </row>
    <row r="23" spans="2:12" x14ac:dyDescent="0.3">
      <c r="B23" s="20"/>
      <c r="C23" s="20"/>
      <c r="D23"/>
      <c r="E23" s="3"/>
    </row>
    <row r="24" spans="2:12" x14ac:dyDescent="0.3">
      <c r="B24" s="20"/>
      <c r="C24" s="20"/>
      <c r="D24"/>
      <c r="E24" s="3"/>
    </row>
  </sheetData>
  <sheetProtection sheet="1" formatColumns="0" selectLockedCells="1"/>
  <mergeCells count="1">
    <mergeCell ref="B2:L2"/>
  </mergeCells>
  <dataValidations count="1">
    <dataValidation type="list" allowBlank="1" showInputMessage="1" showErrorMessage="1" sqref="C24">
      <formula1>"Holstein Pie noire, Holstein Pie rouge, Normande, Jersey, ontbéliarde, Simentale, Brune de Suisse, BBB mixte"</formula1>
    </dataValidation>
  </dataValidations>
  <pageMargins left="0.7" right="0.7" top="0.75" bottom="0.75"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E4F923B9A1A94D8DCDA77A76762B0E" ma:contentTypeVersion="10" ma:contentTypeDescription="Crée un document." ma:contentTypeScope="" ma:versionID="1f4be3b890d34297c7990b2991bc2bec">
  <xsd:schema xmlns:xsd="http://www.w3.org/2001/XMLSchema" xmlns:xs="http://www.w3.org/2001/XMLSchema" xmlns:p="http://schemas.microsoft.com/office/2006/metadata/properties" xmlns:ns2="8dd17b5e-b1c9-457c-a35a-a6423ff008e9" xmlns:ns3="cbe7a469-5e8e-493e-9c78-c0a7502a2544" targetNamespace="http://schemas.microsoft.com/office/2006/metadata/properties" ma:root="true" ma:fieldsID="7b27d0d2cf8c2b02d1daf330f66122d7" ns2:_="" ns3:_="">
    <xsd:import namespace="8dd17b5e-b1c9-457c-a35a-a6423ff008e9"/>
    <xsd:import namespace="cbe7a469-5e8e-493e-9c78-c0a7502a25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17b5e-b1c9-457c-a35a-a6423ff008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e7a469-5e8e-493e-9c78-c0a7502a2544"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98D0F6-A88A-435A-9C7B-9034AD1D99EF}">
  <ds:schemaRefs>
    <ds:schemaRef ds:uri="http://schemas.microsoft.com/sharepoint/v3/contenttype/forms"/>
  </ds:schemaRefs>
</ds:datastoreItem>
</file>

<file path=customXml/itemProps2.xml><?xml version="1.0" encoding="utf-8"?>
<ds:datastoreItem xmlns:ds="http://schemas.openxmlformats.org/officeDocument/2006/customXml" ds:itemID="{0EAF5B95-099D-4116-A473-FE7DE0A984A9}">
  <ds:schemaRefs>
    <ds:schemaRef ds:uri="http://schemas.microsoft.com/office/2006/documentManagement/types"/>
    <ds:schemaRef ds:uri="8dd17b5e-b1c9-457c-a35a-a6423ff008e9"/>
    <ds:schemaRef ds:uri="cbe7a469-5e8e-493e-9c78-c0a7502a2544"/>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729E28C-118B-4DD7-AD73-1313D28469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17b5e-b1c9-457c-a35a-a6423ff008e9"/>
    <ds:schemaRef ds:uri="cbe7a469-5e8e-493e-9c78-c0a7502a25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Accueil</vt:lpstr>
      <vt:lpstr>Fonctionnement</vt:lpstr>
      <vt:lpstr>Introduction</vt:lpstr>
      <vt:lpstr>① Assolement </vt:lpstr>
      <vt:lpstr>② Récolte</vt:lpstr>
      <vt:lpstr>③ Pâturage</vt:lpstr>
      <vt:lpstr>④ Stock</vt:lpstr>
      <vt:lpstr>⑤ Production fourragère</vt:lpstr>
      <vt:lpstr>⑥ Troupeau laitier </vt:lpstr>
      <vt:lpstr>⑦ Troupeau viandeux</vt:lpstr>
      <vt:lpstr>⑧ Taux de chargement</vt:lpstr>
      <vt:lpstr>⑨ Coûts de production</vt:lpstr>
      <vt:lpstr>⑩ Achats</vt:lpstr>
      <vt:lpstr>⑪ Efficience économique</vt:lpstr>
      <vt:lpstr>⑫ Niveau d'autonomie</vt:lpstr>
      <vt:lpstr>Annexe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Sacha</dc:creator>
  <cp:lastModifiedBy>user</cp:lastModifiedBy>
  <cp:lastPrinted>2018-03-21T08:27:02Z</cp:lastPrinted>
  <dcterms:created xsi:type="dcterms:W3CDTF">2018-03-20T10:46:47Z</dcterms:created>
  <dcterms:modified xsi:type="dcterms:W3CDTF">2019-09-30T10:11:00Z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0x010100E7E4F923B9A1A94D8DCDA77A76762B0E</vt:lpwstr>
  </property>
</Properties>
</file>