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comments2.xml" ContentType="application/vnd.openxmlformats-officedocument.spreadsheetml.comments+xml"/>
  <Override PartName="/xl/tables/table2.xml" ContentType="application/vnd.openxmlformats-officedocument.spreadsheetml.table+xml"/>
  <Override PartName="/xl/tables/table3.xml" ContentType="application/vnd.openxmlformats-officedocument.spreadsheetml.table+xml"/>
  <Override PartName="/xl/comments3.xml" ContentType="application/vnd.openxmlformats-officedocument.spreadsheetml.comments+xml"/>
  <Override PartName="/xl/tables/table4.xml" ContentType="application/vnd.openxmlformats-officedocument.spreadsheetml.table+xml"/>
  <Override PartName="/xl/comments4.xml" ContentType="application/vnd.openxmlformats-officedocument.spreadsheetml.comments+xml"/>
  <Override PartName="/xl/tables/table5.xml" ContentType="application/vnd.openxmlformats-officedocument.spreadsheetml.table+xml"/>
  <Override PartName="/xl/comments5.xml" ContentType="application/vnd.openxmlformats-officedocument.spreadsheetml.comments+xml"/>
  <Override PartName="/xl/tables/table6.xml" ContentType="application/vnd.openxmlformats-officedocument.spreadsheetml.table+xml"/>
  <Override PartName="/xl/tables/table7.xml" ContentType="application/vnd.openxmlformats-officedocument.spreadsheetml.table+xml"/>
  <Override PartName="/xl/comments6.xml" ContentType="application/vnd.openxmlformats-officedocument.spreadsheetml.comments+xml"/>
  <Override PartName="/xl/tables/table8.xml" ContentType="application/vnd.openxmlformats-officedocument.spreadsheetml.table+xml"/>
  <Override PartName="/xl/tables/table9.xml" ContentType="application/vnd.openxmlformats-officedocument.spreadsheetml.table+xml"/>
  <Override PartName="/xl/comments7.xml" ContentType="application/vnd.openxmlformats-officedocument.spreadsheetml.comment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omments8.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9.xml" ContentType="application/vnd.openxmlformats-officedocument.spreadsheetml.comments+xml"/>
  <Override PartName="/xl/tables/table16.xml" ContentType="application/vnd.openxmlformats-officedocument.spreadsheetml.table+xml"/>
  <Override PartName="/xl/comments10.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user\FUGEA\EquipeFugea - Pôle Environnment\Indicateur autonomie\Final\"/>
    </mc:Choice>
  </mc:AlternateContent>
  <bookViews>
    <workbookView xWindow="0" yWindow="0" windowWidth="19200" windowHeight="8616" tabRatio="672"/>
  </bookViews>
  <sheets>
    <sheet name="Accueil" sheetId="19" r:id="rId1"/>
    <sheet name="Fonctionnement" sheetId="21" r:id="rId2"/>
    <sheet name="Introduction" sheetId="10" r:id="rId3"/>
    <sheet name="① Assolement " sheetId="1" r:id="rId4"/>
    <sheet name="② Récolte" sheetId="2" r:id="rId5"/>
    <sheet name="③ Pâturage" sheetId="11" r:id="rId6"/>
    <sheet name="④ Stock" sheetId="15" r:id="rId7"/>
    <sheet name="⑤ Production fourragère" sheetId="12" r:id="rId8"/>
    <sheet name="⑥ Troupeau laitier " sheetId="3" r:id="rId9"/>
    <sheet name="⑦ Troupeau viandeux" sheetId="4" r:id="rId10"/>
    <sheet name="⑧ Taux de chargement" sheetId="18" r:id="rId11"/>
    <sheet name="⑨ Coûts de production" sheetId="6" r:id="rId12"/>
    <sheet name="⑩ Achats" sheetId="14" r:id="rId13"/>
    <sheet name="⑪ Efficience économique" sheetId="7" r:id="rId14"/>
    <sheet name="⑫ Niveau d'autonomie" sheetId="8" r:id="rId15"/>
    <sheet name="Annexe 1" sheetId="16" r:id="rId1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5" i="14" l="1"/>
  <c r="G33" i="14"/>
  <c r="G26" i="14"/>
  <c r="G27" i="14"/>
  <c r="G28" i="14"/>
  <c r="G29" i="14"/>
  <c r="G25" i="14"/>
  <c r="G19" i="14"/>
  <c r="G20" i="14"/>
  <c r="G21" i="14"/>
  <c r="G18" i="14"/>
  <c r="G13" i="14"/>
  <c r="G14" i="14"/>
  <c r="G12" i="14"/>
  <c r="G6" i="14"/>
  <c r="G7" i="14"/>
  <c r="G8" i="14"/>
  <c r="G5" i="15" l="1"/>
  <c r="G8" i="15"/>
  <c r="G9" i="15"/>
  <c r="G10" i="15"/>
  <c r="G4" i="15"/>
  <c r="L5" i="2"/>
  <c r="L6" i="2"/>
  <c r="L7" i="2"/>
  <c r="L8" i="2"/>
  <c r="L9" i="2"/>
  <c r="L10" i="2"/>
  <c r="L12" i="2"/>
  <c r="L15" i="2"/>
  <c r="L16" i="2"/>
  <c r="L17" i="2"/>
  <c r="L18" i="2"/>
  <c r="L19" i="2"/>
  <c r="L20" i="2"/>
  <c r="L21" i="2"/>
  <c r="L22" i="2"/>
  <c r="L23" i="2"/>
  <c r="L24" i="2"/>
  <c r="L25" i="2"/>
  <c r="L26" i="2"/>
  <c r="L27" i="2"/>
  <c r="L28" i="2"/>
  <c r="L29" i="2"/>
  <c r="L30" i="2"/>
  <c r="L31" i="2"/>
  <c r="L32" i="2"/>
  <c r="L33" i="2"/>
  <c r="L34" i="2"/>
  <c r="L35" i="2"/>
  <c r="L36" i="2"/>
  <c r="L37" i="2"/>
  <c r="L38" i="2"/>
  <c r="L39" i="2"/>
  <c r="L40" i="2"/>
  <c r="L41" i="2"/>
  <c r="L42" i="2"/>
  <c r="L43" i="2"/>
  <c r="L44" i="2"/>
  <c r="L45" i="2"/>
  <c r="L46" i="2"/>
  <c r="L47" i="2"/>
  <c r="L48" i="2"/>
  <c r="L49" i="2"/>
  <c r="L50" i="2"/>
  <c r="L51" i="2"/>
  <c r="L52" i="2"/>
  <c r="L53" i="2"/>
  <c r="L54" i="2"/>
  <c r="L55" i="2"/>
  <c r="L56" i="2"/>
  <c r="L57" i="2"/>
  <c r="L58" i="2"/>
  <c r="L59" i="2"/>
  <c r="L60" i="2"/>
  <c r="L61" i="2"/>
  <c r="L62" i="2"/>
  <c r="L63" i="2"/>
  <c r="L64" i="2"/>
  <c r="L65" i="2"/>
  <c r="L66" i="2"/>
  <c r="L67" i="2"/>
  <c r="L68" i="2"/>
  <c r="L69" i="2"/>
  <c r="L70" i="2"/>
  <c r="L71" i="2"/>
  <c r="L72" i="2"/>
  <c r="L73" i="2"/>
  <c r="L74" i="2"/>
  <c r="L75" i="2"/>
  <c r="L76" i="2"/>
  <c r="L77" i="2"/>
  <c r="L78" i="2"/>
  <c r="L79" i="2"/>
  <c r="L80" i="2"/>
  <c r="L81" i="2"/>
  <c r="L82" i="2"/>
  <c r="L83" i="2"/>
  <c r="L84" i="2"/>
  <c r="L85" i="2"/>
  <c r="L86" i="2"/>
  <c r="L87" i="2"/>
  <c r="L88" i="2"/>
  <c r="L89" i="2"/>
  <c r="L90" i="2"/>
  <c r="L91" i="2"/>
  <c r="L92" i="2"/>
  <c r="L93" i="2"/>
  <c r="L94" i="2"/>
  <c r="L95" i="2"/>
  <c r="L96" i="2"/>
  <c r="L97" i="2"/>
  <c r="L98" i="2"/>
  <c r="L99" i="2"/>
  <c r="L100" i="2"/>
  <c r="L101" i="2"/>
  <c r="L102" i="2"/>
  <c r="L103" i="2"/>
  <c r="L4" i="2"/>
  <c r="J6" i="2" l="1"/>
  <c r="J7" i="2"/>
  <c r="J8" i="2"/>
  <c r="J9" i="2"/>
  <c r="J10" i="2"/>
  <c r="J12"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5" i="11" l="1"/>
  <c r="C3" i="7" l="1"/>
  <c r="C16" i="7"/>
  <c r="D16" i="6"/>
  <c r="C5" i="18" l="1"/>
  <c r="B16" i="2"/>
  <c r="B24" i="2"/>
  <c r="B22" i="2"/>
  <c r="B20" i="2"/>
  <c r="B18" i="2"/>
  <c r="B14" i="2"/>
  <c r="D31" i="11" l="1"/>
  <c r="N4" i="11" l="1"/>
  <c r="D104" i="2"/>
  <c r="D24" i="2"/>
  <c r="D22" i="2"/>
  <c r="D20" i="2"/>
  <c r="D18" i="2"/>
  <c r="D16" i="2"/>
  <c r="D14" i="2"/>
  <c r="D30" i="2"/>
  <c r="D100" i="2" l="1"/>
  <c r="D101" i="2" s="1"/>
  <c r="D102" i="2" s="1"/>
  <c r="D103" i="2" s="1"/>
  <c r="D95" i="2"/>
  <c r="D96" i="2" s="1"/>
  <c r="D97" i="2" s="1"/>
  <c r="D98" i="2" s="1"/>
  <c r="D90" i="2"/>
  <c r="D91" i="2" s="1"/>
  <c r="D92" i="2" s="1"/>
  <c r="D93" i="2" s="1"/>
  <c r="D85" i="2"/>
  <c r="D86" i="2" s="1"/>
  <c r="D87" i="2" s="1"/>
  <c r="D88" i="2" s="1"/>
  <c r="D80" i="2"/>
  <c r="D81" i="2" s="1"/>
  <c r="D82" i="2" s="1"/>
  <c r="D83" i="2" s="1"/>
  <c r="D75" i="2"/>
  <c r="D76" i="2" s="1"/>
  <c r="D77" i="2" s="1"/>
  <c r="D78" i="2" s="1"/>
  <c r="D70" i="2"/>
  <c r="D71" i="2" s="1"/>
  <c r="D72" i="2" s="1"/>
  <c r="D73" i="2" s="1"/>
  <c r="D65" i="2"/>
  <c r="D66" i="2" s="1"/>
  <c r="D67" i="2" s="1"/>
  <c r="D68" i="2" s="1"/>
  <c r="D60" i="2"/>
  <c r="D61" i="2" s="1"/>
  <c r="D62" i="2" s="1"/>
  <c r="D63" i="2" s="1"/>
  <c r="D55" i="2"/>
  <c r="D56" i="2" s="1"/>
  <c r="D57" i="2" s="1"/>
  <c r="D58" i="2" s="1"/>
  <c r="D50" i="2"/>
  <c r="D51" i="2" s="1"/>
  <c r="D52" i="2" s="1"/>
  <c r="D53" i="2" s="1"/>
  <c r="D45" i="2"/>
  <c r="D46" i="2" s="1"/>
  <c r="D47" i="2" s="1"/>
  <c r="D48" i="2" s="1"/>
  <c r="D40" i="2"/>
  <c r="D41" i="2" s="1"/>
  <c r="D42" i="2" s="1"/>
  <c r="D43" i="2" s="1"/>
  <c r="D35" i="2"/>
  <c r="D36" i="2" s="1"/>
  <c r="D37" i="2" s="1"/>
  <c r="D38" i="2" s="1"/>
  <c r="D5" i="6" l="1"/>
  <c r="F4" i="2"/>
  <c r="L7" i="3"/>
  <c r="L6" i="3"/>
  <c r="L5" i="3"/>
  <c r="L4" i="3"/>
  <c r="K7" i="3"/>
  <c r="K6" i="3"/>
  <c r="K5" i="3"/>
  <c r="K4" i="3"/>
  <c r="J6" i="3"/>
  <c r="J7" i="3"/>
  <c r="J5" i="3"/>
  <c r="J4" i="3"/>
  <c r="F5" i="4"/>
  <c r="G5" i="4" s="1"/>
  <c r="H5" i="4" l="1"/>
  <c r="D20" i="6"/>
  <c r="D19" i="6"/>
  <c r="D18" i="6"/>
  <c r="D13" i="6"/>
  <c r="C21" i="6"/>
  <c r="C11" i="7" s="1"/>
  <c r="D17" i="6"/>
  <c r="D6" i="6"/>
  <c r="D15" i="6"/>
  <c r="D14" i="6"/>
  <c r="D11" i="6"/>
  <c r="F24" i="2" l="1"/>
  <c r="H24" i="2" s="1"/>
  <c r="F23" i="2"/>
  <c r="E16" i="6" s="1"/>
  <c r="F22" i="2"/>
  <c r="H22" i="2" s="1"/>
  <c r="F21" i="2"/>
  <c r="F20" i="2"/>
  <c r="H20" i="2" s="1"/>
  <c r="F19" i="2"/>
  <c r="F18" i="2"/>
  <c r="H18" i="2" s="1"/>
  <c r="F17" i="2"/>
  <c r="E13" i="6" s="1"/>
  <c r="F13" i="2"/>
  <c r="F14" i="2"/>
  <c r="H14" i="2" s="1"/>
  <c r="F8" i="2"/>
  <c r="H8" i="2" s="1"/>
  <c r="F9" i="2"/>
  <c r="H9" i="2" s="1"/>
  <c r="F10" i="2"/>
  <c r="H10" i="2" s="1"/>
  <c r="F11" i="2"/>
  <c r="H11" i="2" s="1"/>
  <c r="F12" i="2"/>
  <c r="H12" i="2" s="1"/>
  <c r="F25" i="2"/>
  <c r="E17" i="6" s="1"/>
  <c r="F26" i="2"/>
  <c r="F27" i="2"/>
  <c r="F28" i="2"/>
  <c r="F29" i="2"/>
  <c r="F30" i="2"/>
  <c r="H30" i="2" s="1"/>
  <c r="F31" i="2"/>
  <c r="H31" i="2" s="1"/>
  <c r="F32" i="2"/>
  <c r="H32" i="2" s="1"/>
  <c r="F33" i="2"/>
  <c r="H33" i="2" s="1"/>
  <c r="F34" i="2"/>
  <c r="H34" i="2" s="1"/>
  <c r="F35" i="2"/>
  <c r="H35" i="2" s="1"/>
  <c r="F36" i="2"/>
  <c r="H36" i="2" s="1"/>
  <c r="F37" i="2"/>
  <c r="H37" i="2" s="1"/>
  <c r="F38" i="2"/>
  <c r="H38" i="2" s="1"/>
  <c r="F39" i="2"/>
  <c r="H39" i="2" s="1"/>
  <c r="F40" i="2"/>
  <c r="H40" i="2" s="1"/>
  <c r="F41" i="2"/>
  <c r="H41" i="2" s="1"/>
  <c r="F42" i="2"/>
  <c r="H42" i="2" s="1"/>
  <c r="F43" i="2"/>
  <c r="H43" i="2" s="1"/>
  <c r="F44" i="2"/>
  <c r="H44" i="2" s="1"/>
  <c r="F45" i="2"/>
  <c r="H45" i="2" s="1"/>
  <c r="F46" i="2"/>
  <c r="H46" i="2" s="1"/>
  <c r="F47" i="2"/>
  <c r="H47" i="2" s="1"/>
  <c r="F48" i="2"/>
  <c r="H48" i="2" s="1"/>
  <c r="F49" i="2"/>
  <c r="H49" i="2" s="1"/>
  <c r="F50" i="2"/>
  <c r="H50" i="2" s="1"/>
  <c r="F51" i="2"/>
  <c r="H51" i="2" s="1"/>
  <c r="F52" i="2"/>
  <c r="H52" i="2" s="1"/>
  <c r="F53" i="2"/>
  <c r="H53" i="2" s="1"/>
  <c r="F54" i="2"/>
  <c r="H54" i="2" s="1"/>
  <c r="F55" i="2"/>
  <c r="H55" i="2" s="1"/>
  <c r="F56" i="2"/>
  <c r="H56" i="2" s="1"/>
  <c r="F57" i="2"/>
  <c r="H57" i="2" s="1"/>
  <c r="F58" i="2"/>
  <c r="H58" i="2" s="1"/>
  <c r="F59" i="2"/>
  <c r="H59" i="2" s="1"/>
  <c r="F60" i="2"/>
  <c r="H60" i="2" s="1"/>
  <c r="F61" i="2"/>
  <c r="H61" i="2" s="1"/>
  <c r="F62" i="2"/>
  <c r="H62" i="2" s="1"/>
  <c r="F63" i="2"/>
  <c r="H63" i="2" s="1"/>
  <c r="F64" i="2"/>
  <c r="H64" i="2" s="1"/>
  <c r="F65" i="2"/>
  <c r="H65" i="2" s="1"/>
  <c r="F66" i="2"/>
  <c r="H66" i="2" s="1"/>
  <c r="F67" i="2"/>
  <c r="H67" i="2" s="1"/>
  <c r="F68" i="2"/>
  <c r="H68" i="2" s="1"/>
  <c r="F69" i="2"/>
  <c r="H69" i="2" s="1"/>
  <c r="F70" i="2"/>
  <c r="H70" i="2" s="1"/>
  <c r="F71" i="2"/>
  <c r="H71" i="2" s="1"/>
  <c r="F72" i="2"/>
  <c r="H72" i="2" s="1"/>
  <c r="F73" i="2"/>
  <c r="H73" i="2" s="1"/>
  <c r="F74" i="2"/>
  <c r="H74" i="2" s="1"/>
  <c r="F75" i="2"/>
  <c r="H75" i="2" s="1"/>
  <c r="F76" i="2"/>
  <c r="H76" i="2" s="1"/>
  <c r="F77" i="2"/>
  <c r="H77" i="2" s="1"/>
  <c r="F78" i="2"/>
  <c r="H78" i="2" s="1"/>
  <c r="F79" i="2"/>
  <c r="H79" i="2" s="1"/>
  <c r="F80" i="2"/>
  <c r="H80" i="2" s="1"/>
  <c r="F81" i="2"/>
  <c r="H81" i="2" s="1"/>
  <c r="F82" i="2"/>
  <c r="H82" i="2" s="1"/>
  <c r="F83" i="2"/>
  <c r="H83" i="2" s="1"/>
  <c r="F84" i="2"/>
  <c r="H84" i="2" s="1"/>
  <c r="F85" i="2"/>
  <c r="H85" i="2" s="1"/>
  <c r="F86" i="2"/>
  <c r="H86" i="2" s="1"/>
  <c r="F87" i="2"/>
  <c r="H87" i="2" s="1"/>
  <c r="F88" i="2"/>
  <c r="H88" i="2" s="1"/>
  <c r="F89" i="2"/>
  <c r="H89" i="2" s="1"/>
  <c r="F90" i="2"/>
  <c r="H90" i="2" s="1"/>
  <c r="F91" i="2"/>
  <c r="H91" i="2" s="1"/>
  <c r="F92" i="2"/>
  <c r="H92" i="2" s="1"/>
  <c r="F93" i="2"/>
  <c r="H93" i="2" s="1"/>
  <c r="F94" i="2"/>
  <c r="H94" i="2" s="1"/>
  <c r="F95" i="2"/>
  <c r="H95" i="2" s="1"/>
  <c r="F96" i="2"/>
  <c r="H96" i="2" s="1"/>
  <c r="F97" i="2"/>
  <c r="H97" i="2" s="1"/>
  <c r="F98" i="2"/>
  <c r="H98" i="2" s="1"/>
  <c r="F99" i="2"/>
  <c r="H99" i="2" s="1"/>
  <c r="F100" i="2"/>
  <c r="H100" i="2" s="1"/>
  <c r="F101" i="2"/>
  <c r="H101" i="2" s="1"/>
  <c r="F102" i="2"/>
  <c r="H102" i="2" s="1"/>
  <c r="F103" i="2"/>
  <c r="H103" i="2" s="1"/>
  <c r="L11" i="2" l="1"/>
  <c r="J11" i="2"/>
  <c r="L14" i="2"/>
  <c r="J14" i="2"/>
  <c r="H26" i="2"/>
  <c r="E18" i="6"/>
  <c r="H27" i="2"/>
  <c r="E19" i="6"/>
  <c r="H28" i="2"/>
  <c r="E20" i="6"/>
  <c r="H17" i="2"/>
  <c r="H13" i="2"/>
  <c r="E11" i="6"/>
  <c r="H21" i="2"/>
  <c r="E15" i="6"/>
  <c r="H29" i="2"/>
  <c r="E4" i="6"/>
  <c r="H25" i="2"/>
  <c r="H19" i="2"/>
  <c r="E14" i="6"/>
  <c r="H23" i="2"/>
  <c r="K18" i="14"/>
  <c r="K25" i="14"/>
  <c r="K34" i="14"/>
  <c r="K35" i="14"/>
  <c r="K33" i="14"/>
  <c r="K26" i="14"/>
  <c r="K27" i="14"/>
  <c r="K28" i="14"/>
  <c r="K29" i="14"/>
  <c r="K21" i="14"/>
  <c r="K20" i="14"/>
  <c r="K19" i="14"/>
  <c r="K13" i="14"/>
  <c r="K14" i="14"/>
  <c r="K12" i="14"/>
  <c r="K5" i="14"/>
  <c r="K6" i="14"/>
  <c r="K7" i="14"/>
  <c r="K8" i="14"/>
  <c r="L13" i="2" l="1"/>
  <c r="J13" i="2"/>
  <c r="F16" i="6"/>
  <c r="F15" i="6"/>
  <c r="F14" i="6"/>
  <c r="F13" i="6"/>
  <c r="F20" i="6"/>
  <c r="F18" i="6"/>
  <c r="F19" i="6"/>
  <c r="K15" i="14"/>
  <c r="G41" i="14" s="1"/>
  <c r="K9" i="14"/>
  <c r="G40" i="14" s="1"/>
  <c r="K36" i="14"/>
  <c r="G44" i="14" s="1"/>
  <c r="E34" i="14"/>
  <c r="G34" i="14" s="1"/>
  <c r="E35" i="14"/>
  <c r="E33" i="14"/>
  <c r="E26" i="14"/>
  <c r="E27" i="14"/>
  <c r="E28" i="14"/>
  <c r="E29" i="14"/>
  <c r="E25" i="14"/>
  <c r="E19" i="14"/>
  <c r="E20" i="14"/>
  <c r="E21" i="14"/>
  <c r="E18" i="14"/>
  <c r="E13" i="14"/>
  <c r="E14" i="14"/>
  <c r="E12" i="14"/>
  <c r="E6" i="14"/>
  <c r="E7" i="14"/>
  <c r="E8" i="14"/>
  <c r="E5" i="14"/>
  <c r="G5" i="14" s="1"/>
  <c r="I20" i="14" l="1"/>
  <c r="I34" i="14"/>
  <c r="I21" i="14"/>
  <c r="I25" i="14"/>
  <c r="I19" i="14"/>
  <c r="I12" i="14"/>
  <c r="I29" i="14"/>
  <c r="I28" i="14"/>
  <c r="I27" i="14"/>
  <c r="I13" i="14"/>
  <c r="I18" i="14"/>
  <c r="I26" i="14"/>
  <c r="I33" i="14"/>
  <c r="I35" i="14"/>
  <c r="I14" i="14"/>
  <c r="I15" i="14" s="1"/>
  <c r="F41" i="14" s="1"/>
  <c r="I6" i="14"/>
  <c r="I7" i="14"/>
  <c r="I5" i="14"/>
  <c r="I8" i="14"/>
  <c r="E9" i="14"/>
  <c r="D40" i="14" s="1"/>
  <c r="I17" i="3"/>
  <c r="H17" i="3"/>
  <c r="G17" i="3"/>
  <c r="G15" i="14" l="1"/>
  <c r="E41" i="14" s="1"/>
  <c r="I30" i="14"/>
  <c r="F43" i="14" s="1"/>
  <c r="G22" i="14"/>
  <c r="E42" i="14" s="1"/>
  <c r="G30" i="14"/>
  <c r="E43" i="14" s="1"/>
  <c r="I22" i="14"/>
  <c r="F42" i="14" s="1"/>
  <c r="G36" i="14"/>
  <c r="E44" i="14" s="1"/>
  <c r="I36" i="14"/>
  <c r="F44" i="14" s="1"/>
  <c r="G9" i="14"/>
  <c r="E40" i="14" s="1"/>
  <c r="I9" i="14"/>
  <c r="F40" i="14" s="1"/>
  <c r="C30" i="14"/>
  <c r="C43" i="14" s="1"/>
  <c r="F45" i="14" l="1"/>
  <c r="G50" i="14" s="1"/>
  <c r="E45" i="14"/>
  <c r="G49" i="14" s="1"/>
  <c r="K22" i="14"/>
  <c r="G42" i="14" s="1"/>
  <c r="D10" i="6" l="1"/>
  <c r="D9" i="6"/>
  <c r="D8" i="6"/>
  <c r="D7" i="6"/>
  <c r="D4" i="6"/>
  <c r="C10" i="18"/>
  <c r="E10" i="18" s="1"/>
  <c r="C9" i="18"/>
  <c r="E9" i="18" s="1"/>
  <c r="C8" i="18"/>
  <c r="E8" i="18" s="1"/>
  <c r="C7" i="18"/>
  <c r="E7" i="18" s="1"/>
  <c r="C6" i="18"/>
  <c r="E6" i="18" s="1"/>
  <c r="E5" i="18"/>
  <c r="C4" i="18"/>
  <c r="K30" i="14" l="1"/>
  <c r="G43" i="14" s="1"/>
  <c r="G45" i="14" s="1"/>
  <c r="G47" i="14" s="1"/>
  <c r="C11" i="18"/>
  <c r="E4" i="18"/>
  <c r="E11" i="18" s="1"/>
  <c r="C19" i="18" s="1"/>
  <c r="E7" i="15"/>
  <c r="G7" i="15" s="1"/>
  <c r="E5" i="15"/>
  <c r="E6" i="15"/>
  <c r="G6" i="15" s="1"/>
  <c r="E8" i="15"/>
  <c r="E9" i="15"/>
  <c r="E10" i="15"/>
  <c r="E4" i="15"/>
  <c r="C11" i="15"/>
  <c r="I8" i="15" l="1"/>
  <c r="I9" i="15"/>
  <c r="I4" i="15"/>
  <c r="I6" i="15"/>
  <c r="I7" i="15"/>
  <c r="I5" i="15"/>
  <c r="I10" i="15"/>
  <c r="C17" i="18"/>
  <c r="C15" i="18"/>
  <c r="D9" i="7"/>
  <c r="D10" i="7"/>
  <c r="F25" i="6"/>
  <c r="E11" i="15"/>
  <c r="C9" i="14"/>
  <c r="C40" i="14" s="1"/>
  <c r="E30" i="14"/>
  <c r="D43" i="14" s="1"/>
  <c r="E22" i="14"/>
  <c r="D42" i="14" s="1"/>
  <c r="D31" i="2"/>
  <c r="D32" i="2" s="1"/>
  <c r="D33" i="2" s="1"/>
  <c r="P13" i="11"/>
  <c r="N13" i="11"/>
  <c r="N12" i="11" s="1"/>
  <c r="P12" i="11"/>
  <c r="P10" i="11"/>
  <c r="P11" i="11" s="1"/>
  <c r="P9" i="11"/>
  <c r="N9" i="11"/>
  <c r="P8" i="11"/>
  <c r="N8" i="11"/>
  <c r="P7" i="11"/>
  <c r="N7" i="11"/>
  <c r="P6" i="11"/>
  <c r="N6" i="11"/>
  <c r="N10" i="11" s="1"/>
  <c r="N11" i="11" s="1"/>
  <c r="P5" i="11"/>
  <c r="N5" i="11"/>
  <c r="P4" i="11"/>
  <c r="H30" i="11"/>
  <c r="H29" i="11"/>
  <c r="H28" i="11"/>
  <c r="H27" i="11"/>
  <c r="I27" i="11" s="1"/>
  <c r="H26" i="11"/>
  <c r="H25" i="11"/>
  <c r="H24" i="11"/>
  <c r="H23" i="11"/>
  <c r="I23" i="11" s="1"/>
  <c r="H22" i="11"/>
  <c r="H21" i="11"/>
  <c r="H20" i="11"/>
  <c r="H19" i="11"/>
  <c r="I19" i="11" s="1"/>
  <c r="H18" i="11"/>
  <c r="I18" i="11" s="1"/>
  <c r="H17" i="11"/>
  <c r="I17" i="11" s="1"/>
  <c r="H16" i="11"/>
  <c r="H15" i="11"/>
  <c r="I15" i="11" s="1"/>
  <c r="H14" i="11"/>
  <c r="I14" i="11" s="1"/>
  <c r="H13" i="11"/>
  <c r="H12" i="11"/>
  <c r="H11" i="11"/>
  <c r="I11" i="11" s="1"/>
  <c r="H10" i="11"/>
  <c r="H9" i="11"/>
  <c r="H8" i="11"/>
  <c r="H7" i="11"/>
  <c r="I7" i="11" s="1"/>
  <c r="H6" i="11"/>
  <c r="H5" i="11"/>
  <c r="I13" i="11" l="1"/>
  <c r="H31" i="11"/>
  <c r="G11" i="15"/>
  <c r="J25" i="11"/>
  <c r="I25" i="11"/>
  <c r="J26" i="11"/>
  <c r="I26" i="11"/>
  <c r="J28" i="11"/>
  <c r="I28" i="11"/>
  <c r="J22" i="11"/>
  <c r="I22" i="11"/>
  <c r="J29" i="11"/>
  <c r="I29" i="11"/>
  <c r="J27" i="11"/>
  <c r="J30" i="11"/>
  <c r="I30" i="11"/>
  <c r="J24" i="11"/>
  <c r="I24" i="11"/>
  <c r="I11" i="15"/>
  <c r="J20" i="11"/>
  <c r="I20" i="11"/>
  <c r="J18" i="11"/>
  <c r="J21" i="11"/>
  <c r="I21" i="11"/>
  <c r="I5" i="11"/>
  <c r="J19" i="11"/>
  <c r="J16" i="11"/>
  <c r="I16" i="11"/>
  <c r="J14" i="11"/>
  <c r="J12" i="11"/>
  <c r="I12" i="11"/>
  <c r="J11" i="11"/>
  <c r="J10" i="11"/>
  <c r="I10" i="11"/>
  <c r="J9" i="11"/>
  <c r="I9" i="11"/>
  <c r="J8" i="11"/>
  <c r="I8" i="11"/>
  <c r="J6" i="11"/>
  <c r="I6" i="11"/>
  <c r="J7" i="11"/>
  <c r="J23" i="11"/>
  <c r="J15" i="11"/>
  <c r="C15" i="14"/>
  <c r="C41" i="14" s="1"/>
  <c r="J13" i="11"/>
  <c r="J17" i="11"/>
  <c r="F25" i="4"/>
  <c r="E26" i="4"/>
  <c r="G26" i="4" s="1"/>
  <c r="E27" i="4"/>
  <c r="G27" i="4" s="1"/>
  <c r="E28" i="4"/>
  <c r="G28" i="4" s="1"/>
  <c r="E29" i="4"/>
  <c r="G29" i="4" s="1"/>
  <c r="E30" i="4"/>
  <c r="G30" i="4" s="1"/>
  <c r="E31" i="4"/>
  <c r="G31" i="4" s="1"/>
  <c r="E32" i="4"/>
  <c r="G32" i="4" s="1"/>
  <c r="E33" i="4"/>
  <c r="G33" i="4" s="1"/>
  <c r="E34" i="4"/>
  <c r="G34" i="4" s="1"/>
  <c r="E35" i="4"/>
  <c r="E36" i="4"/>
  <c r="E37" i="4"/>
  <c r="E38" i="4"/>
  <c r="E39" i="4"/>
  <c r="E40" i="4"/>
  <c r="E41" i="4"/>
  <c r="E42" i="4"/>
  <c r="E25" i="4"/>
  <c r="E6" i="4"/>
  <c r="E7" i="4"/>
  <c r="G7" i="4" s="1"/>
  <c r="E8" i="4"/>
  <c r="G8" i="4" s="1"/>
  <c r="E9" i="4"/>
  <c r="E10" i="4"/>
  <c r="E11" i="4"/>
  <c r="E12" i="4"/>
  <c r="E13" i="4"/>
  <c r="E14" i="4"/>
  <c r="E15" i="4"/>
  <c r="H15" i="4" s="1"/>
  <c r="E16" i="4"/>
  <c r="E17" i="4"/>
  <c r="E18" i="4"/>
  <c r="E19" i="4"/>
  <c r="E20" i="4"/>
  <c r="E21" i="4"/>
  <c r="E5" i="4"/>
  <c r="E5" i="3"/>
  <c r="E6" i="3"/>
  <c r="E7" i="3"/>
  <c r="E8" i="3"/>
  <c r="E9" i="3"/>
  <c r="E10" i="3"/>
  <c r="E11" i="3"/>
  <c r="E12" i="3"/>
  <c r="E13" i="3"/>
  <c r="E14" i="3"/>
  <c r="E15" i="3"/>
  <c r="E16" i="3"/>
  <c r="I31" i="11" l="1"/>
  <c r="J31" i="11"/>
  <c r="G25" i="4"/>
  <c r="H25" i="4"/>
  <c r="F6" i="4"/>
  <c r="G6" i="4"/>
  <c r="L9" i="3"/>
  <c r="K9" i="3"/>
  <c r="J9" i="3"/>
  <c r="K12" i="3"/>
  <c r="J12" i="3"/>
  <c r="L12" i="3"/>
  <c r="J8" i="3"/>
  <c r="K8" i="3"/>
  <c r="L8" i="3"/>
  <c r="L15" i="3"/>
  <c r="K15" i="3"/>
  <c r="J15" i="3"/>
  <c r="L13" i="3"/>
  <c r="K13" i="3"/>
  <c r="J13" i="3"/>
  <c r="K16" i="3"/>
  <c r="J16" i="3"/>
  <c r="L16" i="3"/>
  <c r="L11" i="3"/>
  <c r="K11" i="3"/>
  <c r="J11" i="3"/>
  <c r="K14" i="3"/>
  <c r="L14" i="3"/>
  <c r="J14" i="3"/>
  <c r="K10" i="3"/>
  <c r="L10" i="3"/>
  <c r="J10" i="3"/>
  <c r="C4" i="7"/>
  <c r="C5" i="7" s="1"/>
  <c r="E15" i="14"/>
  <c r="D41" i="14" s="1"/>
  <c r="E36" i="14"/>
  <c r="D44" i="14" s="1"/>
  <c r="F28" i="4"/>
  <c r="H28" i="4"/>
  <c r="F37" i="4"/>
  <c r="H37" i="4"/>
  <c r="G37" i="4"/>
  <c r="F29" i="4"/>
  <c r="H29" i="4"/>
  <c r="F32" i="4"/>
  <c r="H32" i="4"/>
  <c r="F39" i="4"/>
  <c r="H39" i="4"/>
  <c r="G39" i="4"/>
  <c r="F35" i="4"/>
  <c r="G35" i="4"/>
  <c r="H35" i="4"/>
  <c r="F31" i="4"/>
  <c r="H31" i="4"/>
  <c r="F27" i="4"/>
  <c r="H27" i="4"/>
  <c r="F41" i="4"/>
  <c r="H41" i="4"/>
  <c r="G41" i="4"/>
  <c r="F33" i="4"/>
  <c r="H33" i="4"/>
  <c r="F40" i="4"/>
  <c r="H40" i="4"/>
  <c r="G40" i="4"/>
  <c r="F36" i="4"/>
  <c r="H36" i="4"/>
  <c r="G36" i="4"/>
  <c r="F42" i="4"/>
  <c r="G42" i="4"/>
  <c r="H42" i="4"/>
  <c r="F38" i="4"/>
  <c r="G38" i="4"/>
  <c r="H38" i="4"/>
  <c r="F34" i="4"/>
  <c r="H34" i="4"/>
  <c r="F30" i="4"/>
  <c r="H30" i="4"/>
  <c r="F26" i="4"/>
  <c r="H26" i="4"/>
  <c r="D45" i="14" l="1"/>
  <c r="G48" i="14" s="1"/>
  <c r="C36" i="14"/>
  <c r="C44" i="14" s="1"/>
  <c r="C22" i="14"/>
  <c r="C42" i="14" s="1"/>
  <c r="C45" i="14" s="1"/>
  <c r="D10" i="1"/>
  <c r="D6" i="8" l="1"/>
  <c r="E6" i="8"/>
  <c r="C6" i="8"/>
  <c r="C13" i="18"/>
  <c r="H21" i="4"/>
  <c r="G21" i="4"/>
  <c r="F21" i="4"/>
  <c r="H43" i="4"/>
  <c r="G43" i="4"/>
  <c r="C43" i="4"/>
  <c r="F43" i="4"/>
  <c r="E4" i="3"/>
  <c r="C22" i="4"/>
  <c r="C12" i="7" l="1"/>
  <c r="D11" i="7"/>
  <c r="G16" i="4"/>
  <c r="F16" i="4"/>
  <c r="H16" i="4"/>
  <c r="F8" i="4"/>
  <c r="H8" i="4"/>
  <c r="H11" i="4"/>
  <c r="G11" i="4"/>
  <c r="F11" i="4"/>
  <c r="H20" i="4"/>
  <c r="G20" i="4"/>
  <c r="F20" i="4"/>
  <c r="H12" i="4"/>
  <c r="G12" i="4"/>
  <c r="F12" i="4"/>
  <c r="H19" i="4"/>
  <c r="G19" i="4"/>
  <c r="F19" i="4"/>
  <c r="G15" i="4"/>
  <c r="F15" i="4"/>
  <c r="H7" i="4"/>
  <c r="F7" i="4"/>
  <c r="H18" i="4"/>
  <c r="G18" i="4"/>
  <c r="F18" i="4"/>
  <c r="H14" i="4"/>
  <c r="G14" i="4"/>
  <c r="F14" i="4"/>
  <c r="H10" i="4"/>
  <c r="G10" i="4"/>
  <c r="F10" i="4"/>
  <c r="H6" i="4"/>
  <c r="H17" i="4"/>
  <c r="G17" i="4"/>
  <c r="F17" i="4"/>
  <c r="H13" i="4"/>
  <c r="G13" i="4"/>
  <c r="F13" i="4"/>
  <c r="H9" i="4"/>
  <c r="G9" i="4"/>
  <c r="F9" i="4"/>
  <c r="E43" i="4"/>
  <c r="E22" i="4"/>
  <c r="D12" i="7" l="1"/>
  <c r="C13" i="7"/>
  <c r="D13" i="7" s="1"/>
  <c r="C25" i="6"/>
  <c r="F22" i="4"/>
  <c r="G22" i="4"/>
  <c r="H22" i="4"/>
  <c r="L17" i="3"/>
  <c r="K17" i="3"/>
  <c r="C17" i="3"/>
  <c r="E5" i="8" l="1"/>
  <c r="D5" i="8"/>
  <c r="J17" i="3"/>
  <c r="C5" i="8" s="1"/>
  <c r="E17" i="3"/>
  <c r="C24" i="6" s="1"/>
  <c r="C26" i="6" s="1"/>
  <c r="E13" i="7" l="1"/>
  <c r="F24" i="6"/>
  <c r="E11" i="7"/>
  <c r="E10" i="7"/>
  <c r="E12" i="7"/>
  <c r="E9" i="7"/>
  <c r="F23" i="6"/>
  <c r="E6" i="6"/>
  <c r="E9" i="6"/>
  <c r="E7" i="6"/>
  <c r="F10" i="6" l="1"/>
  <c r="E10" i="6"/>
  <c r="F8" i="6"/>
  <c r="E8" i="6"/>
  <c r="H4" i="2"/>
  <c r="F17" i="6"/>
  <c r="F9" i="6"/>
  <c r="F11" i="6"/>
  <c r="F7" i="6"/>
  <c r="F6" i="6"/>
  <c r="J4" i="2" l="1"/>
  <c r="F4" i="6"/>
  <c r="F5" i="2" l="1"/>
  <c r="F6" i="2"/>
  <c r="H6" i="2" s="1"/>
  <c r="F7" i="2"/>
  <c r="H7" i="2" s="1"/>
  <c r="H5" i="2" l="1"/>
  <c r="E5" i="6"/>
  <c r="J5" i="2" l="1"/>
  <c r="L104" i="2"/>
  <c r="F5" i="6"/>
  <c r="D12" i="8" l="1"/>
  <c r="C12" i="8"/>
  <c r="E12" i="8"/>
  <c r="F16" i="2"/>
  <c r="H16" i="2" s="1"/>
  <c r="F15" i="2"/>
  <c r="E12" i="6" s="1"/>
  <c r="E21" i="6" s="1"/>
  <c r="D12" i="6"/>
  <c r="D21" i="6" s="1"/>
  <c r="H15" i="2" l="1"/>
  <c r="F12" i="6"/>
  <c r="F21" i="6" s="1"/>
  <c r="F104" i="2"/>
  <c r="H104" i="2" l="1"/>
  <c r="E4" i="8"/>
  <c r="E7" i="8" s="1"/>
  <c r="J104" i="2"/>
  <c r="B5" i="12" l="1"/>
  <c r="B3" i="12"/>
  <c r="C4" i="8"/>
  <c r="C7" i="8" s="1"/>
  <c r="E13" i="8"/>
  <c r="B4" i="12"/>
  <c r="D4" i="8"/>
  <c r="D7" i="8" s="1"/>
  <c r="C13" i="8" l="1"/>
  <c r="D13" i="8"/>
</calcChain>
</file>

<file path=xl/comments1.xml><?xml version="1.0" encoding="utf-8"?>
<comments xmlns="http://schemas.openxmlformats.org/spreadsheetml/2006/main">
  <authors>
    <author>user</author>
  </authors>
  <commentList>
    <comment ref="B8" authorId="0" shapeId="0">
      <text>
        <r>
          <rPr>
            <b/>
            <sz val="12"/>
            <color indexed="81"/>
            <rFont val="Tahoma"/>
            <family val="2"/>
          </rPr>
          <t xml:space="preserve">Céréales
</t>
        </r>
        <r>
          <rPr>
            <sz val="12"/>
            <color indexed="81"/>
            <rFont val="Tahoma"/>
            <family val="2"/>
          </rPr>
          <t>Inscrivez uniquement la superficie dédiée à l'alimentation de votre troupeau.</t>
        </r>
      </text>
    </comment>
    <comment ref="C8" authorId="0" shapeId="0">
      <text>
        <r>
          <rPr>
            <b/>
            <sz val="12"/>
            <color indexed="81"/>
            <rFont val="Tahoma"/>
            <family val="2"/>
          </rPr>
          <t>Céréales</t>
        </r>
        <r>
          <rPr>
            <sz val="12"/>
            <color indexed="81"/>
            <rFont val="Tahoma"/>
            <family val="2"/>
          </rPr>
          <t xml:space="preserve">
Inscrivez uniquement la superficie dédiée à l'alimentation de votre troupeau.</t>
        </r>
      </text>
    </comment>
    <comment ref="D8" authorId="0" shapeId="0">
      <text>
        <r>
          <rPr>
            <b/>
            <sz val="12"/>
            <color indexed="81"/>
            <rFont val="Tahoma"/>
            <family val="2"/>
          </rPr>
          <t>Céréales</t>
        </r>
        <r>
          <rPr>
            <sz val="12"/>
            <color indexed="81"/>
            <rFont val="Tahoma"/>
            <family val="2"/>
          </rPr>
          <t xml:space="preserve">
Inscrivez uniquement la superficie dédiée à l'alimentation de votre troupeau.</t>
        </r>
      </text>
    </comment>
  </commentList>
</comments>
</file>

<file path=xl/comments10.xml><?xml version="1.0" encoding="utf-8"?>
<comments xmlns="http://schemas.openxmlformats.org/spreadsheetml/2006/main">
  <authors>
    <author>user</author>
  </authors>
  <commentList>
    <comment ref="B2" authorId="0" shapeId="0">
      <text>
        <r>
          <rPr>
            <sz val="12"/>
            <color indexed="81"/>
            <rFont val="Tahoma"/>
            <family val="2"/>
          </rPr>
          <t>Les données proposées proviennent de tableaux distribués à l'école d'agriculture de Ciney St-Quentin (EPASC).</t>
        </r>
      </text>
    </comment>
  </commentList>
</comments>
</file>

<file path=xl/comments2.xml><?xml version="1.0" encoding="utf-8"?>
<comments xmlns="http://schemas.openxmlformats.org/spreadsheetml/2006/main">
  <authors>
    <author>Sacha</author>
    <author>user</author>
  </authors>
  <commentList>
    <comment ref="G3" authorId="0" shapeId="0">
      <text>
        <r>
          <rPr>
            <sz val="12"/>
            <color indexed="81"/>
            <rFont val="Tahoma"/>
            <family val="2"/>
          </rPr>
          <t>Introduisez vos valeurs en pourcentage (%).
Si vous ne disposez pas de vos propres résultats d'analyses, les valeurs alimentaires moyennes de nombreux fourrages et aliments se trouvent dans la feuille Excel "Annexe1".</t>
        </r>
      </text>
    </comment>
    <comment ref="I3" authorId="1" shapeId="0">
      <text>
        <r>
          <rPr>
            <sz val="12"/>
            <color indexed="81"/>
            <rFont val="Tahoma"/>
            <family val="2"/>
          </rPr>
          <t>Si vous ne disposez pas de vos propres résultats d'analyses, les valeurs alimentaires moyennes de nombreux fourrages et aliments se trouvent dans la feuille Excel "Annexe1".</t>
        </r>
      </text>
    </comment>
    <comment ref="K3" authorId="1" shapeId="0">
      <text>
        <r>
          <rPr>
            <sz val="12"/>
            <color indexed="81"/>
            <rFont val="Tahoma"/>
            <family val="2"/>
          </rPr>
          <t>Si vous ne disposez pas de vos propres résultats d'analyses, les valeurs alimentaires moyennes de nombreux fourrages et aliments se trouvent dans la feuille Excel "Annexe1".</t>
        </r>
      </text>
    </comment>
    <comment ref="B13" authorId="1" shapeId="0">
      <text>
        <r>
          <rPr>
            <b/>
            <sz val="12"/>
            <color indexed="81"/>
            <rFont val="Tahoma"/>
            <family val="2"/>
          </rPr>
          <t xml:space="preserve">Céréales
</t>
        </r>
        <r>
          <rPr>
            <sz val="12"/>
            <color indexed="81"/>
            <rFont val="Tahoma"/>
            <family val="2"/>
          </rPr>
          <t>Superficie à renseigner uniquement si la paille et/ou le grain est destiné à l'alimentation du troupeau.</t>
        </r>
      </text>
    </comment>
    <comment ref="B15" authorId="1" shapeId="0">
      <text>
        <r>
          <rPr>
            <b/>
            <sz val="12"/>
            <color indexed="81"/>
            <rFont val="Tahoma"/>
            <family val="2"/>
          </rPr>
          <t>Céréales</t>
        </r>
        <r>
          <rPr>
            <sz val="12"/>
            <color indexed="81"/>
            <rFont val="Tahoma"/>
            <family val="2"/>
          </rPr>
          <t xml:space="preserve">
Superficie à renseigner uniquement si la paille et/ou le grain est destiné à l'alimentation du troupeau.</t>
        </r>
      </text>
    </comment>
    <comment ref="B17" authorId="1" shapeId="0">
      <text>
        <r>
          <rPr>
            <b/>
            <sz val="12"/>
            <color indexed="81"/>
            <rFont val="Tahoma"/>
            <family val="2"/>
          </rPr>
          <t>Céréales</t>
        </r>
        <r>
          <rPr>
            <sz val="12"/>
            <color indexed="81"/>
            <rFont val="Tahoma"/>
            <family val="2"/>
          </rPr>
          <t xml:space="preserve">
Superficie à renseigner uniquement si la paille et/ou le grain est destiné à l'alimentation du troupeau.</t>
        </r>
      </text>
    </comment>
    <comment ref="B19" authorId="1" shapeId="0">
      <text>
        <r>
          <rPr>
            <b/>
            <sz val="12"/>
            <color indexed="81"/>
            <rFont val="Tahoma"/>
            <family val="2"/>
          </rPr>
          <t>Céréales</t>
        </r>
        <r>
          <rPr>
            <sz val="12"/>
            <color indexed="81"/>
            <rFont val="Tahoma"/>
            <family val="2"/>
          </rPr>
          <t xml:space="preserve">
Superficie à renseigner uniquement si la paille et/ou le grain est destiné à l'alimentation du troupeau.</t>
        </r>
      </text>
    </comment>
    <comment ref="B21" authorId="1" shapeId="0">
      <text>
        <r>
          <rPr>
            <b/>
            <sz val="12"/>
            <color indexed="81"/>
            <rFont val="Tahoma"/>
            <family val="2"/>
          </rPr>
          <t>Céréales</t>
        </r>
        <r>
          <rPr>
            <sz val="12"/>
            <color indexed="81"/>
            <rFont val="Tahoma"/>
            <family val="2"/>
          </rPr>
          <t xml:space="preserve">
Superficie à renseigner uniquement si la paille et/ou le grain est destiné à l'alimentation du troupeau.</t>
        </r>
      </text>
    </comment>
    <comment ref="B23" authorId="1" shapeId="0">
      <text>
        <r>
          <rPr>
            <b/>
            <sz val="12"/>
            <color indexed="81"/>
            <rFont val="Tahoma"/>
            <family val="2"/>
          </rPr>
          <t>Céréales</t>
        </r>
        <r>
          <rPr>
            <sz val="12"/>
            <color indexed="81"/>
            <rFont val="Tahoma"/>
            <family val="2"/>
          </rPr>
          <t xml:space="preserve">
Superficie à renseigner uniquement si la paille et/ou le grain est destiné à l'alimentation du troupeau.</t>
        </r>
      </text>
    </comment>
  </commentList>
</comments>
</file>

<file path=xl/comments3.xml><?xml version="1.0" encoding="utf-8"?>
<comments xmlns="http://schemas.openxmlformats.org/spreadsheetml/2006/main">
  <authors>
    <author>Sacha</author>
  </authors>
  <commentList>
    <comment ref="F4" authorId="0" shapeId="0">
      <text>
        <r>
          <rPr>
            <b/>
            <sz val="12"/>
            <color indexed="81"/>
            <rFont val="Tahoma"/>
            <family val="2"/>
          </rPr>
          <t>Données</t>
        </r>
        <r>
          <rPr>
            <sz val="12"/>
            <color indexed="81"/>
            <rFont val="Tahoma"/>
            <family val="2"/>
          </rPr>
          <t xml:space="preserve">
Prendre la valeur moyenne correspondant à votre région dans le tableau ci-contre.</t>
        </r>
        <r>
          <rPr>
            <sz val="9"/>
            <color indexed="81"/>
            <rFont val="Tahoma"/>
            <family val="2"/>
          </rPr>
          <t xml:space="preserve">
</t>
        </r>
      </text>
    </comment>
    <comment ref="G4" authorId="0" shapeId="0">
      <text>
        <r>
          <rPr>
            <b/>
            <sz val="12"/>
            <color indexed="81"/>
            <rFont val="Tahoma"/>
            <family val="2"/>
          </rPr>
          <t>Données</t>
        </r>
        <r>
          <rPr>
            <sz val="12"/>
            <color indexed="81"/>
            <rFont val="Tahoma"/>
            <family val="2"/>
          </rPr>
          <t xml:space="preserve">
Sélectionnez la qualité de l'herbe parmis les 3 propositions, selon votre appréciation.</t>
        </r>
      </text>
    </comment>
  </commentList>
</comments>
</file>

<file path=xl/comments4.xml><?xml version="1.0" encoding="utf-8"?>
<comments xmlns="http://schemas.openxmlformats.org/spreadsheetml/2006/main">
  <authors>
    <author>user</author>
  </authors>
  <commentList>
    <comment ref="D3" authorId="0" shapeId="0">
      <text>
        <r>
          <rPr>
            <sz val="12"/>
            <color indexed="81"/>
            <rFont val="Tahoma"/>
            <family val="2"/>
          </rPr>
          <t>Introduisez vos valeurs en pourcentage (%).
Si vous ne disposez pas de vos propres résultats d'analyses, les valeurs alimentaires moyennes de nombreux fourrages et aliments se trouvent dans la feuille Excel "Annexe1".</t>
        </r>
      </text>
    </comment>
    <comment ref="F3" authorId="0" shapeId="0">
      <text>
        <r>
          <rPr>
            <sz val="12"/>
            <color indexed="81"/>
            <rFont val="Tahoma"/>
            <family val="2"/>
          </rPr>
          <t>Si vous ne disposez pas de vos propres résultats d'analyses, les valeurs alimentaires moyennes de nombreux fourrages et aliments se trouvent dans la feuille Excel "Annexe1".</t>
        </r>
      </text>
    </comment>
    <comment ref="H3" authorId="0" shapeId="0">
      <text>
        <r>
          <rPr>
            <sz val="12"/>
            <color indexed="81"/>
            <rFont val="Tahoma"/>
            <family val="2"/>
          </rPr>
          <t>Si vous ne disposez pas de vos propres résultats d'analyses, les valeurs alimentaires moyennes de nombreux fourrages et aliments se trouvent dans la feuille Excel "Annexe1".</t>
        </r>
      </text>
    </comment>
  </commentList>
</comments>
</file>

<file path=xl/comments5.xml><?xml version="1.0" encoding="utf-8"?>
<comments xmlns="http://schemas.openxmlformats.org/spreadsheetml/2006/main">
  <authors>
    <author>user</author>
    <author>Sacha</author>
  </authors>
  <commentList>
    <comment ref="B3" authorId="0" shapeId="0">
      <text>
        <r>
          <rPr>
            <sz val="12"/>
            <color indexed="81"/>
            <rFont val="Tahoma"/>
            <family val="2"/>
          </rPr>
          <t>Les besoins des troupeaux laitiers et viandeux hormis ceux des vaches en lactation, taries et allaitantes, ont été calculés sur base des besoins d'entretien d'une vache laitière multipare et d'une vache allaitante multipliés par la valeur UGB alimentaire de chaque catégorie d'animaux.</t>
        </r>
      </text>
    </comment>
    <comment ref="H3" authorId="1" shapeId="0">
      <text>
        <r>
          <rPr>
            <b/>
            <sz val="12"/>
            <color indexed="81"/>
            <rFont val="Tahoma"/>
            <family val="2"/>
          </rPr>
          <t xml:space="preserve">Données :
</t>
        </r>
        <r>
          <rPr>
            <sz val="12"/>
            <color indexed="81"/>
            <rFont val="Tahoma"/>
            <family val="2"/>
          </rPr>
          <t>Introduire les taux en pourcent.</t>
        </r>
      </text>
    </comment>
    <comment ref="I3" authorId="1" shapeId="0">
      <text>
        <r>
          <rPr>
            <b/>
            <sz val="12"/>
            <color indexed="81"/>
            <rFont val="Tahoma"/>
            <family val="2"/>
          </rPr>
          <t xml:space="preserve">Données :
</t>
        </r>
        <r>
          <rPr>
            <sz val="12"/>
            <color indexed="81"/>
            <rFont val="Tahoma"/>
            <family val="2"/>
          </rPr>
          <t>Introduire les taux en pourcent.</t>
        </r>
        <r>
          <rPr>
            <sz val="9"/>
            <color indexed="81"/>
            <rFont val="Tahoma"/>
            <family val="2"/>
          </rPr>
          <t xml:space="preserve">
</t>
        </r>
      </text>
    </comment>
    <comment ref="J3" authorId="0" shapeId="0">
      <text>
        <r>
          <rPr>
            <sz val="12"/>
            <color indexed="81"/>
            <rFont val="Tahoma"/>
            <family val="2"/>
          </rPr>
          <t>Les besoins du troupeau laitier sont calculés sur base des besoins d'entretien d'une vache laitière multipare multipliés par la valeur UGB alimentaire de chaque catégorie d'animaux, excepté pour les vaches en lactation et les vaches taries dont les besoins sont calculés par d'autres formules.</t>
        </r>
      </text>
    </comment>
    <comment ref="K3" authorId="0" shapeId="0">
      <text>
        <r>
          <rPr>
            <sz val="12"/>
            <color indexed="81"/>
            <rFont val="Tahoma"/>
            <family val="2"/>
          </rPr>
          <t>Les besoins du troupeau laitier sont calculés sur base des besoins d'entretien d'une vache laitière multipare multipliés par la valeur UGB alimentaire de chaque catégorie d'animaux, excepté pour les vaches en lactation et les vaches taries dont les besoins sont calculés par d'autres formules.</t>
        </r>
      </text>
    </comment>
    <comment ref="L3" authorId="0" shapeId="0">
      <text>
        <r>
          <rPr>
            <sz val="12"/>
            <color indexed="81"/>
            <rFont val="Tahoma"/>
            <family val="2"/>
          </rPr>
          <t>Les besoins du troupeau laitier sont calculés sur base des besoins d'entretien d'une vache laitière multipare multipliés par la valeur UGB alimentaire de chaque catégorie d'animaux, excepté pour les vaches en lactation et les vaches taries dont les besoins sont calculés par d'autres formules.</t>
        </r>
      </text>
    </comment>
  </commentList>
</comments>
</file>

<file path=xl/comments6.xml><?xml version="1.0" encoding="utf-8"?>
<comments xmlns="http://schemas.openxmlformats.org/spreadsheetml/2006/main">
  <authors>
    <author>user</author>
    <author>Sacha</author>
  </authors>
  <commentList>
    <comment ref="F4" authorId="0" shapeId="0">
      <text>
        <r>
          <rPr>
            <sz val="12"/>
            <color indexed="81"/>
            <rFont val="Tahoma"/>
            <family val="2"/>
          </rPr>
          <t>Les besoins du troupeau viandeux sont calculés sur base des besoins d'entretien d'une vache allaitante en fonction de la race du troupeau, multipliés par la valeur UGB alimentaire de chaque catégorie d'animaux.</t>
        </r>
      </text>
    </comment>
    <comment ref="G4" authorId="0" shapeId="0">
      <text>
        <r>
          <rPr>
            <sz val="12"/>
            <color indexed="81"/>
            <rFont val="Tahoma"/>
            <family val="2"/>
          </rPr>
          <t>Les besoins du troupeau viandeux sont calculés sur base des besoins d'entretien d'une vache allaitante en fonction de la race du troupeau, multipliés par la valeur UGB alimentaire de chaque catégorie d'animaux.</t>
        </r>
      </text>
    </comment>
    <comment ref="H4" authorId="0" shapeId="0">
      <text>
        <r>
          <rPr>
            <sz val="12"/>
            <color indexed="81"/>
            <rFont val="Tahoma"/>
            <family val="2"/>
          </rPr>
          <t>Les besoins du troupeau viandeux sont calculés sur base des besoins d'entretien d'une vache allaitante en fonction de la race du troupeau, multipliés par la valeur UGB alimentaire de chaque catégorie d'animaux.</t>
        </r>
      </text>
    </comment>
    <comment ref="F23" authorId="1" shapeId="0">
      <text>
        <r>
          <rPr>
            <b/>
            <sz val="12"/>
            <color indexed="81"/>
            <rFont val="Tahoma"/>
            <family val="2"/>
          </rPr>
          <t>Race :</t>
        </r>
        <r>
          <rPr>
            <sz val="12"/>
            <color indexed="81"/>
            <rFont val="Tahoma"/>
            <family val="2"/>
          </rPr>
          <t xml:space="preserve">
Choisir la race de son troupeau allaitant parmis celles proposées dans la liste déroulante de cette cellule.</t>
        </r>
      </text>
    </comment>
    <comment ref="F24" authorId="0" shapeId="0">
      <text>
        <r>
          <rPr>
            <sz val="12"/>
            <color indexed="81"/>
            <rFont val="Tahoma"/>
            <family val="2"/>
          </rPr>
          <t>Les besoins du troupeau viandeux sont calculés sur base des besoins d'entretien d'une vache allaitante en fonction de la race du troupeau, multipliés par la valeur UGB alimentaire de chaque catégorie d'animaux.</t>
        </r>
      </text>
    </comment>
    <comment ref="G24" authorId="0" shapeId="0">
      <text>
        <r>
          <rPr>
            <sz val="12"/>
            <color indexed="81"/>
            <rFont val="Tahoma"/>
            <family val="2"/>
          </rPr>
          <t>Les besoins du troupeau viandeux sont calculés sur base des besoins d'entretien d'une vache allaitante en fonction de la race du troupeau, multipliés par la valeur UGB alimentaire de chaque catégorie d'animaux.</t>
        </r>
      </text>
    </comment>
    <comment ref="H24" authorId="0" shapeId="0">
      <text>
        <r>
          <rPr>
            <sz val="12"/>
            <color indexed="81"/>
            <rFont val="Tahoma"/>
            <family val="2"/>
          </rPr>
          <t>Les besoins du troupeau viandeux sont calculés sur base des besoins d'entretien d'une vache allaitante en fonction de la race du troupeau, multipliés par la valeur UGB alimentaire de chaque catégorie d'animaux.</t>
        </r>
      </text>
    </comment>
  </commentList>
</comments>
</file>

<file path=xl/comments7.xml><?xml version="1.0" encoding="utf-8"?>
<comments xmlns="http://schemas.openxmlformats.org/spreadsheetml/2006/main">
  <authors>
    <author>user</author>
  </authors>
  <commentList>
    <comment ref="E4" authorId="0" shapeId="0">
      <text>
        <r>
          <rPr>
            <sz val="12"/>
            <color indexed="81"/>
            <rFont val="Tahoma"/>
            <family val="2"/>
          </rPr>
          <t>Ne pas faire attention à ce résultat car le calcul ne prend pas en compte la production de matière fraiche des prairies pâturées.</t>
        </r>
      </text>
    </comment>
  </commentList>
</comments>
</file>

<file path=xl/comments8.xml><?xml version="1.0" encoding="utf-8"?>
<comments xmlns="http://schemas.openxmlformats.org/spreadsheetml/2006/main">
  <authors>
    <author>user</author>
  </authors>
  <commentList>
    <comment ref="B4" authorId="0" shapeId="0">
      <text>
        <r>
          <rPr>
            <sz val="12"/>
            <color indexed="81"/>
            <rFont val="Tahoma"/>
            <family val="2"/>
          </rPr>
          <t>Si vous ne disposez pas de vos propres résultats d'analyses, les valeurs alimentaires moyennes de nombreux fourrages et aliments se trouvent dans la feuille Excel "Annexe1".</t>
        </r>
      </text>
    </comment>
    <comment ref="B11" authorId="0" shapeId="0">
      <text>
        <r>
          <rPr>
            <sz val="12"/>
            <color indexed="81"/>
            <rFont val="Tahoma"/>
            <family val="2"/>
          </rPr>
          <t>Si vous ne disposez pas de vos propres résultats d'analyses, les valeurs alimentaires moyennes de nombreux fourrages et aliments se trouvent dans la feuille Excel "Annexe1".</t>
        </r>
      </text>
    </comment>
    <comment ref="B17" authorId="0" shapeId="0">
      <text>
        <r>
          <rPr>
            <sz val="12"/>
            <color indexed="81"/>
            <rFont val="Tahoma"/>
            <family val="2"/>
          </rPr>
          <t>Si vous ne disposez pas de vos propres résultats d'analyses, les valeurs alimentaires moyennes de nombreux fourrages et aliments se trouvent dans la feuille Excel "Annexe1".</t>
        </r>
      </text>
    </comment>
    <comment ref="B24" authorId="0" shapeId="0">
      <text>
        <r>
          <rPr>
            <sz val="12"/>
            <color indexed="81"/>
            <rFont val="Tahoma"/>
            <family val="2"/>
          </rPr>
          <t>Si vous ne disposez pas de vos propres résultats d'analyses, les valeurs alimentaires moyennes de nombreux fourrages et aliments se trouvent dans la feuille Excel "Annexe1".</t>
        </r>
      </text>
    </comment>
    <comment ref="B32" authorId="0" shapeId="0">
      <text>
        <r>
          <rPr>
            <sz val="12"/>
            <color indexed="81"/>
            <rFont val="Tahoma"/>
            <family val="2"/>
          </rPr>
          <t>Si vous ne disposez pas de vos propres résultats d'analyses, les valeurs alimentaires moyennes de nombreux fourrages et aliments se trouvent dans la feuille Excel "Annexe1".</t>
        </r>
      </text>
    </comment>
  </commentList>
</comments>
</file>

<file path=xl/comments9.xml><?xml version="1.0" encoding="utf-8"?>
<comments xmlns="http://schemas.openxmlformats.org/spreadsheetml/2006/main">
  <authors>
    <author>user</author>
  </authors>
  <commentList>
    <comment ref="B12" authorId="0" shapeId="0">
      <text>
        <r>
          <rPr>
            <sz val="12"/>
            <color indexed="81"/>
            <rFont val="Tahoma"/>
            <family val="2"/>
          </rPr>
          <t xml:space="preserve">Il s'agit du pourcentage des besoins de votre troupeau couvert par votre production fourragère.
</t>
        </r>
      </text>
    </comment>
    <comment ref="B13" authorId="0" shapeId="0">
      <text>
        <r>
          <rPr>
            <sz val="12"/>
            <color indexed="81"/>
            <rFont val="Tahoma"/>
            <family val="2"/>
          </rPr>
          <t>Il s'agit de votre autonomie par rapport à vos achats extérieurs, en fonction de votre production fourragère totale.</t>
        </r>
      </text>
    </comment>
  </commentList>
</comments>
</file>

<file path=xl/sharedStrings.xml><?xml version="1.0" encoding="utf-8"?>
<sst xmlns="http://schemas.openxmlformats.org/spreadsheetml/2006/main" count="666" uniqueCount="356">
  <si>
    <t>Description</t>
  </si>
  <si>
    <t>Superficie (Ha)</t>
  </si>
  <si>
    <t>Prairies</t>
  </si>
  <si>
    <t>Maïs fourrager</t>
  </si>
  <si>
    <t>Céréales</t>
  </si>
  <si>
    <t>TOTAL</t>
  </si>
  <si>
    <t>Types de cultures</t>
  </si>
  <si>
    <t>Prairie 1</t>
  </si>
  <si>
    <t>Prairie 2</t>
  </si>
  <si>
    <t>Prairie 4</t>
  </si>
  <si>
    <t>Prairie 5</t>
  </si>
  <si>
    <t>coupe 1</t>
  </si>
  <si>
    <t>coupe 2</t>
  </si>
  <si>
    <t>coupe 3</t>
  </si>
  <si>
    <t>coupe 4</t>
  </si>
  <si>
    <t>coupe 5</t>
  </si>
  <si>
    <t>Prairie 3</t>
  </si>
  <si>
    <t>Génisses -1 an vêlage précoce</t>
  </si>
  <si>
    <t>Génisses 1-2ans vêlage précoce</t>
  </si>
  <si>
    <t>Nbre d'animaux</t>
  </si>
  <si>
    <t>Vaches laitières 1ère lactation</t>
  </si>
  <si>
    <t>Mâles -1 an</t>
  </si>
  <si>
    <t>Nbre d'UGB</t>
  </si>
  <si>
    <t>Génisses + 2 ans (24-36 mois)</t>
  </si>
  <si>
    <t>Taureaux reproducteurs (min 24 mois)</t>
  </si>
  <si>
    <t>Vaches laitières 2ème lactation et plus</t>
  </si>
  <si>
    <t>/</t>
  </si>
  <si>
    <t>Mâles 1-2 ans</t>
  </si>
  <si>
    <t>Mâles + 2 ans</t>
  </si>
  <si>
    <t>Production laitière/vache/jour (Kg)</t>
  </si>
  <si>
    <t>Ingestion (Kg MS/an)</t>
  </si>
  <si>
    <t>Ingestion VEM/an</t>
  </si>
  <si>
    <t>Ingestion g DVE/an</t>
  </si>
  <si>
    <t>Vaches taries (8ème mois de gestation)</t>
  </si>
  <si>
    <t>Vaches taries (9ème mois de gestation)</t>
  </si>
  <si>
    <t>Poids moyen animal (Kg)</t>
  </si>
  <si>
    <t>Vaches allaitantes</t>
  </si>
  <si>
    <t>Génisses - 1 an</t>
  </si>
  <si>
    <t>Génisses 1-2 ans</t>
  </si>
  <si>
    <t>Génisses + 2 ans</t>
  </si>
  <si>
    <t>Génisses 24-28 mois finition</t>
  </si>
  <si>
    <t>Génisses 30-36 mois finition</t>
  </si>
  <si>
    <t>Mâles - 1 an</t>
  </si>
  <si>
    <t>Mâles 2-3 ans</t>
  </si>
  <si>
    <t>Mâles + 3 ans</t>
  </si>
  <si>
    <t>Taureaux reproducteurs</t>
  </si>
  <si>
    <t>Taureaux finition</t>
  </si>
  <si>
    <t>Boeufs -1 an</t>
  </si>
  <si>
    <t>Boeufs 1-2 ans</t>
  </si>
  <si>
    <t>Boeufs 2-3 ans</t>
  </si>
  <si>
    <t>Boeufs + 3 ans</t>
  </si>
  <si>
    <t>Boeufs 24-36 mois en finition</t>
  </si>
  <si>
    <t>Achats</t>
  </si>
  <si>
    <t>Concentrés</t>
  </si>
  <si>
    <t>Fourrages</t>
  </si>
  <si>
    <t>Quantités (T)</t>
  </si>
  <si>
    <t xml:space="preserve">Coûts totaux </t>
  </si>
  <si>
    <t>T de MS</t>
  </si>
  <si>
    <t xml:space="preserve"> T de MS</t>
  </si>
  <si>
    <t>% MS</t>
  </si>
  <si>
    <t>Rdmt (T/Ha)</t>
  </si>
  <si>
    <t>Type de culture</t>
  </si>
  <si>
    <t>Céréale 2</t>
  </si>
  <si>
    <t>Céréale 3</t>
  </si>
  <si>
    <t>Céréale 4</t>
  </si>
  <si>
    <t>Céréale 5</t>
  </si>
  <si>
    <t>Type de prairie</t>
  </si>
  <si>
    <t>Total</t>
  </si>
  <si>
    <t>Rdmt MF</t>
  </si>
  <si>
    <t>Qualité Herbe</t>
  </si>
  <si>
    <t>Rdmt MS</t>
  </si>
  <si>
    <t>Production énergétique</t>
  </si>
  <si>
    <t>Production protéique</t>
  </si>
  <si>
    <t>Régions agricoles</t>
  </si>
  <si>
    <t>Ardenne</t>
  </si>
  <si>
    <t>Campine hennuyère</t>
  </si>
  <si>
    <t>Condroz</t>
  </si>
  <si>
    <t>Famenne</t>
  </si>
  <si>
    <t>Haute Ardenne</t>
  </si>
  <si>
    <t>Herbagère</t>
  </si>
  <si>
    <t>Jurassique</t>
  </si>
  <si>
    <t>Limoneuse</t>
  </si>
  <si>
    <t>Sablo-limoneuse</t>
  </si>
  <si>
    <t>Nbre jours Pâturés</t>
  </si>
  <si>
    <t>Moyenne</t>
  </si>
  <si>
    <t>6 à 10 T</t>
  </si>
  <si>
    <t>6,5 à 11 T</t>
  </si>
  <si>
    <t>6,5 à 11T</t>
  </si>
  <si>
    <t>4,5 à 7 T</t>
  </si>
  <si>
    <t>5 à 8 T</t>
  </si>
  <si>
    <t>5,5 à 9</t>
  </si>
  <si>
    <t>7 à 11 T</t>
  </si>
  <si>
    <t>7 à 14 T</t>
  </si>
  <si>
    <t>7,5 à 15 T</t>
  </si>
  <si>
    <t>5,5 à 11 T</t>
  </si>
  <si>
    <t>6 à 12 T</t>
  </si>
  <si>
    <t>6,5 à 13 T</t>
  </si>
  <si>
    <t>8 à 16 T</t>
  </si>
  <si>
    <t>Nom du morceau</t>
  </si>
  <si>
    <t>Production brute de l'exploitation</t>
  </si>
  <si>
    <t>Total charges opérationnelles affectées</t>
  </si>
  <si>
    <t>Marge Brute</t>
  </si>
  <si>
    <t>/UGB</t>
  </si>
  <si>
    <t>/L de lait</t>
  </si>
  <si>
    <t>Colonne1</t>
  </si>
  <si>
    <t>Besoins totaux</t>
  </si>
  <si>
    <t>Achats totaux</t>
  </si>
  <si>
    <t>T MS</t>
  </si>
  <si>
    <t>VEM</t>
  </si>
  <si>
    <t>Kg de DVE</t>
  </si>
  <si>
    <t>Quantité de MS achetée</t>
  </si>
  <si>
    <t>Coûts de production fourragère</t>
  </si>
  <si>
    <t>Coûts totaux</t>
  </si>
  <si>
    <t>Massique</t>
  </si>
  <si>
    <t>Protéique</t>
  </si>
  <si>
    <t>Couverture des besoins</t>
  </si>
  <si>
    <t>Autonomie</t>
  </si>
  <si>
    <t>Efficience économique de l'exploitation</t>
  </si>
  <si>
    <t>Vaches allaitantes suitées</t>
  </si>
  <si>
    <t xml:space="preserve">Vaches allaitantes </t>
  </si>
  <si>
    <t>Paille</t>
  </si>
  <si>
    <t>Prairie 6</t>
  </si>
  <si>
    <t>Prairie 7</t>
  </si>
  <si>
    <t>Prairie 8</t>
  </si>
  <si>
    <t>Prairie 9</t>
  </si>
  <si>
    <t>Prairie 10</t>
  </si>
  <si>
    <t>Production totale laitière annuelle (L)</t>
  </si>
  <si>
    <t>Charges variables/an</t>
  </si>
  <si>
    <t>CV/Ha</t>
  </si>
  <si>
    <t>CV/T MF</t>
  </si>
  <si>
    <t>CV/T MS</t>
  </si>
  <si>
    <t>Génisses de - 1an</t>
  </si>
  <si>
    <t>BLANC BLEU BELGE</t>
  </si>
  <si>
    <t>Préfané</t>
  </si>
  <si>
    <t>Foin</t>
  </si>
  <si>
    <t>Co-produits de l'industrie</t>
  </si>
  <si>
    <t>Prairies permanentes (610-618-670-678-600-608)</t>
  </si>
  <si>
    <t>Prairies temporaires (62-72-73)</t>
  </si>
  <si>
    <t>Type de cultures (Code culture)</t>
  </si>
  <si>
    <t>Maïs fourrager (201-202)</t>
  </si>
  <si>
    <t>Céréales (341-342-36-311-312-321-322-331-332-351-352)</t>
  </si>
  <si>
    <t>Autres cultures fourragères (381-43-71-742-743-511-512)</t>
  </si>
  <si>
    <t>Mélanges fourragers</t>
  </si>
  <si>
    <t>Mélange 4</t>
  </si>
  <si>
    <t>Mélange 5</t>
  </si>
  <si>
    <t>Autres cultures fourragères</t>
  </si>
  <si>
    <t>Stock</t>
  </si>
  <si>
    <t>Ensilage d'herbe</t>
  </si>
  <si>
    <t>Valeur UGB</t>
  </si>
  <si>
    <t>Autres vaches</t>
  </si>
  <si>
    <t>Bovins de - 1 an</t>
  </si>
  <si>
    <t>Génisses d'élevages</t>
  </si>
  <si>
    <t>Mâles de 2 ans et plus</t>
  </si>
  <si>
    <t>Bovins entre 1 et 2  ans</t>
  </si>
  <si>
    <t>Chargement par hectare de prairie</t>
  </si>
  <si>
    <t>Chargement par hectare de prairie permanente</t>
  </si>
  <si>
    <t>Chargement par hectare de prairie temporaire</t>
  </si>
  <si>
    <t>Aliments</t>
  </si>
  <si>
    <t>VEVI</t>
  </si>
  <si>
    <t>DVE</t>
  </si>
  <si>
    <t>Paille de froment</t>
  </si>
  <si>
    <t>Paille d'orge</t>
  </si>
  <si>
    <t>Paille d'avoine</t>
  </si>
  <si>
    <t>PAILLES</t>
  </si>
  <si>
    <t>Paille d'épeautre</t>
  </si>
  <si>
    <t xml:space="preserve">Paille de pois </t>
  </si>
  <si>
    <t>FOINS</t>
  </si>
  <si>
    <t>Prairie de très bonne qualité</t>
  </si>
  <si>
    <t>Prairie de bonne qualité</t>
  </si>
  <si>
    <t>Prairie de qualité moyenne</t>
  </si>
  <si>
    <t>Prairie de qualité médiocre</t>
  </si>
  <si>
    <t>Foin de luzerne</t>
  </si>
  <si>
    <t>Foin de trèfle</t>
  </si>
  <si>
    <t>Fanes de pois</t>
  </si>
  <si>
    <t>FOURRAGE VERT-FRAIS</t>
  </si>
  <si>
    <t>Herbe de pâture</t>
  </si>
  <si>
    <t>Luzerne</t>
  </si>
  <si>
    <t>Maïs</t>
  </si>
  <si>
    <t>Fanes et colets de betteraves suc.</t>
  </si>
  <si>
    <t>Feuilles de betteraves</t>
  </si>
  <si>
    <t>Colza d'hiver</t>
  </si>
  <si>
    <t>ENSILAGE D'HERBE</t>
  </si>
  <si>
    <t>Ensilage direct très bon</t>
  </si>
  <si>
    <t>Ensilage direct bon</t>
  </si>
  <si>
    <t>Ensilage direct moyen</t>
  </si>
  <si>
    <t>Ensilage direct médiocre</t>
  </si>
  <si>
    <t>ENSILAGE</t>
  </si>
  <si>
    <t>Maïs laiteux</t>
  </si>
  <si>
    <t>Maïs vitreux</t>
  </si>
  <si>
    <t>Pulpes mouillées</t>
  </si>
  <si>
    <t>Pulpes pressées</t>
  </si>
  <si>
    <t>Pulpes surpressées</t>
  </si>
  <si>
    <t>Drêches de brasserie</t>
  </si>
  <si>
    <t>RACINES ET TUBERCULES</t>
  </si>
  <si>
    <t>Pomme de terre</t>
  </si>
  <si>
    <t>Betterave sucrière</t>
  </si>
  <si>
    <t>Betterave fourragère</t>
  </si>
  <si>
    <t>Racine de chicon</t>
  </si>
  <si>
    <t>GRAINS</t>
  </si>
  <si>
    <t>Froment</t>
  </si>
  <si>
    <t>Escourgeon</t>
  </si>
  <si>
    <t>Avoine</t>
  </si>
  <si>
    <t>Triticale</t>
  </si>
  <si>
    <t>Seigle</t>
  </si>
  <si>
    <t>Pois</t>
  </si>
  <si>
    <t>Farine de luzerne</t>
  </si>
  <si>
    <t>Pulpes sèches</t>
  </si>
  <si>
    <t>Cossettes de betteraves suc.</t>
  </si>
  <si>
    <t>Pulpes d'agrumes</t>
  </si>
  <si>
    <t>Son de froment</t>
  </si>
  <si>
    <t>Rebulet</t>
  </si>
  <si>
    <t>Mélasse</t>
  </si>
  <si>
    <t>Sorgho</t>
  </si>
  <si>
    <t>Farine de manioc</t>
  </si>
  <si>
    <t>Son d'épeautre</t>
  </si>
  <si>
    <t>Pellets de maïs</t>
  </si>
  <si>
    <t>Vinasse de betterave</t>
  </si>
  <si>
    <t>TOURTEAUX S/P HUILE</t>
  </si>
  <si>
    <t>Arachide déshuilé</t>
  </si>
  <si>
    <t>Cocotier déshuilé</t>
  </si>
  <si>
    <t>Lin déshuilé</t>
  </si>
  <si>
    <t>Palmiste déshuilé</t>
  </si>
  <si>
    <t>Germes de maïs déshuilés</t>
  </si>
  <si>
    <t>Soja déshuilé</t>
  </si>
  <si>
    <t>DIVERS</t>
  </si>
  <si>
    <t xml:space="preserve">Pommes </t>
  </si>
  <si>
    <t>Poires</t>
  </si>
  <si>
    <t>Passé betterave en sirop</t>
  </si>
  <si>
    <t>Passé fruit en sirop</t>
  </si>
  <si>
    <t>Passé fruit jus</t>
  </si>
  <si>
    <t>Drêche de whisky</t>
  </si>
  <si>
    <t>Marc de pommes</t>
  </si>
  <si>
    <t xml:space="preserve">Déchets de pdt </t>
  </si>
  <si>
    <t>Lactosérum</t>
  </si>
  <si>
    <t>Mélange Fourrager 1</t>
  </si>
  <si>
    <t>Mélange Fourrager 2</t>
  </si>
  <si>
    <t>Mélange Fourrager 3</t>
  </si>
  <si>
    <t>Mélange Fourrager 4</t>
  </si>
  <si>
    <t>Mélange Fourrager 5</t>
  </si>
  <si>
    <t>Autre culture fourragère</t>
  </si>
  <si>
    <t>UGB alimentation Laitier</t>
  </si>
  <si>
    <t>UGB alimentation viandeux</t>
  </si>
  <si>
    <t>UGB alimentation Totaux</t>
  </si>
  <si>
    <t>Taux protéique du lait (%)</t>
  </si>
  <si>
    <t>Génisses de 1 à 2 ans</t>
  </si>
  <si>
    <t>inventaire du troupeau</t>
  </si>
  <si>
    <t>Inventaire du troupeau</t>
  </si>
  <si>
    <t>CV/Litre de lait</t>
  </si>
  <si>
    <t xml:space="preserve">CV/UGB </t>
  </si>
  <si>
    <t>Prix (€/T)</t>
  </si>
  <si>
    <t>Coûts d'achat (€)</t>
  </si>
  <si>
    <t>Energétique</t>
  </si>
  <si>
    <t>Prairie temporaire 1</t>
  </si>
  <si>
    <t>Prairie temporaire 2</t>
  </si>
  <si>
    <t>Prairie temporaire 3</t>
  </si>
  <si>
    <t>Prairie temporaire 4</t>
  </si>
  <si>
    <t>Prairie temporaire 5</t>
  </si>
  <si>
    <t>Mélanges fourragers (39-541-542)</t>
  </si>
  <si>
    <t>Autre production fourragère</t>
  </si>
  <si>
    <t>Vaches laitières et vaches laitières de réforme</t>
  </si>
  <si>
    <t>Génisses à l'engraissement</t>
  </si>
  <si>
    <t>Chargement par hectare de SAU fourragère</t>
  </si>
  <si>
    <t>Coûts d'achats d'aliments</t>
  </si>
  <si>
    <t>Céréales fourragères</t>
  </si>
  <si>
    <t>Sésame déshuilé</t>
  </si>
  <si>
    <t>Colza déshulié</t>
  </si>
  <si>
    <t>Coton déshuilé</t>
  </si>
  <si>
    <t>Sésame expellé</t>
  </si>
  <si>
    <t>Coton expellé</t>
  </si>
  <si>
    <t>Cocotier expellé</t>
  </si>
  <si>
    <t>Lin expellé</t>
  </si>
  <si>
    <t>Palmiste expellé</t>
  </si>
  <si>
    <t>Colza expellé</t>
  </si>
  <si>
    <t>Bourre d'épeautre</t>
  </si>
  <si>
    <t>Céréale 6</t>
  </si>
  <si>
    <t xml:space="preserve">Céréale 1 </t>
  </si>
  <si>
    <t>VEM Totaux</t>
  </si>
  <si>
    <t>Kg de DVE Totaux</t>
  </si>
  <si>
    <t>Quantité de VEM totale achetée</t>
  </si>
  <si>
    <t>Quantité de DVE totale achetée</t>
  </si>
  <si>
    <t>Outil créé par Sacha Ech-Chakrouni, étudiant au BAC AGRO de Ciney</t>
  </si>
  <si>
    <t>Mélange 1</t>
  </si>
  <si>
    <t>Mélange 2</t>
  </si>
  <si>
    <t>Mélange 3</t>
  </si>
  <si>
    <t>OUTIL DE CALCUL DE L'AUTONOMIE ALIMENTAIRE DE SON EXPLOITATION</t>
  </si>
  <si>
    <t>INTRODUCTION</t>
  </si>
  <si>
    <t>ASSOLEMENT FOURRAGER</t>
  </si>
  <si>
    <t>RENDEMENT QUANTITATIF ET QUALITATIF DES CULTURES LIÉES À L'ALIMENTATION</t>
  </si>
  <si>
    <t>Épeautre</t>
  </si>
  <si>
    <t>Grain</t>
  </si>
  <si>
    <t>PRODUCTION DE FOURRAGE PAR LE PÂTURAGE</t>
  </si>
  <si>
    <t>Rdmt moyen en fonction de la région agricole(T MS/Ha)</t>
  </si>
  <si>
    <t>Rendement</t>
  </si>
  <si>
    <t xml:space="preserve">Rendement </t>
  </si>
  <si>
    <t xml:space="preserve">Moyenne </t>
  </si>
  <si>
    <t>PRAIRIE PERMANENTE</t>
  </si>
  <si>
    <t>PRAIRIE TEMPORAIRE</t>
  </si>
  <si>
    <t>STOCK DE FOURRAGES DES ANNÉES PRÉCÉDENTES</t>
  </si>
  <si>
    <t>Fagne</t>
  </si>
  <si>
    <t>PRODUCTION FOURRAGÈRE TOTALE</t>
  </si>
  <si>
    <t>BESOINS DU TROUPEAU LAITIER</t>
  </si>
  <si>
    <t>Taux de MG du lait (%)</t>
  </si>
  <si>
    <t>Ensilage maïs</t>
  </si>
  <si>
    <t>BESOINS DU TROUPEAU VIANDEUX</t>
  </si>
  <si>
    <t>RACE FRANÇAISE :</t>
  </si>
  <si>
    <t>Choisir une céréale</t>
  </si>
  <si>
    <t>Choisir</t>
  </si>
  <si>
    <t>NOMBRE D'UGB ET CHARGEMENT À L'HECTARE</t>
  </si>
  <si>
    <t>INVENTAIRE ACHATS D'ALIMENTS</t>
  </si>
  <si>
    <t>RÉCAPITULATIF DES ACHATS D'ALIMENTS</t>
  </si>
  <si>
    <t>MARGE BRUTE DU TROUPEAU BOVIN</t>
  </si>
  <si>
    <t>COÛTS ANNUELS</t>
  </si>
  <si>
    <t>CHARGES VARIABLES DES CULTURES FOURRAGÈRES</t>
  </si>
  <si>
    <t xml:space="preserve"> </t>
  </si>
  <si>
    <t>RÉCAPITULATIF</t>
  </si>
  <si>
    <t>CALCUL D'AUTONOMIE</t>
  </si>
  <si>
    <t>Manque à combler au niveau des besoins (achats pas pris en compte)</t>
  </si>
  <si>
    <t>VALEURS ALIMENTAIRES D'ALIMENTS UTILISÉS EN ÉLEVAGE</t>
  </si>
  <si>
    <t xml:space="preserve">Aliments </t>
  </si>
  <si>
    <t xml:space="preserve">%MS </t>
  </si>
  <si>
    <t xml:space="preserve">VEM </t>
  </si>
  <si>
    <t xml:space="preserve">VEVI </t>
  </si>
  <si>
    <t xml:space="preserve">DVE </t>
  </si>
  <si>
    <t>%MS</t>
  </si>
  <si>
    <t>Paille de graminées</t>
  </si>
  <si>
    <t>Choux moëllier</t>
  </si>
  <si>
    <t>Léger préfanage très bon</t>
  </si>
  <si>
    <t>Léger préfanage bon</t>
  </si>
  <si>
    <t>Léger préfanage moyen</t>
  </si>
  <si>
    <t>Léger préfanage médiocre</t>
  </si>
  <si>
    <t>Préfanage très bon</t>
  </si>
  <si>
    <t>Préfanage bon</t>
  </si>
  <si>
    <t>Préfanage moyen</t>
  </si>
  <si>
    <t xml:space="preserve">Préfanage médiovre </t>
  </si>
  <si>
    <t>Maïs pâteux</t>
  </si>
  <si>
    <t>Maïs pré-pâteux</t>
  </si>
  <si>
    <t>Carotte</t>
  </si>
  <si>
    <t>Navet</t>
  </si>
  <si>
    <t>Féverole</t>
  </si>
  <si>
    <t>Drêches de brasserie sèches</t>
  </si>
  <si>
    <t>CONCENTRÉS</t>
  </si>
  <si>
    <t>Arachide expellé</t>
  </si>
  <si>
    <t>Germes maïs expellés</t>
  </si>
  <si>
    <t>Pulpes de pdt</t>
  </si>
  <si>
    <t>Épluchures de pdt</t>
  </si>
  <si>
    <t>Charges opérationnelles affectées aux cultures fourragères</t>
  </si>
  <si>
    <t xml:space="preserve">Charges opérationnelles affectées (hors coûts des cultures fourragères) </t>
  </si>
  <si>
    <t>SALERS</t>
  </si>
  <si>
    <t>SCHÉMA EXPLIQUANT LE FONCTIONNEMENT GÉNÉRAL DE L'OUTIL</t>
  </si>
  <si>
    <t>g de DVE/kg de MS</t>
  </si>
  <si>
    <t>DVE Totaux</t>
  </si>
  <si>
    <t>Production fourragère totale</t>
  </si>
  <si>
    <t>Valeurs UGB alimentaires</t>
  </si>
  <si>
    <t>CV/UGB alimentaire</t>
  </si>
  <si>
    <t>VEM/kg de MS</t>
  </si>
  <si>
    <r>
      <rPr>
        <b/>
        <sz val="16"/>
        <color theme="1"/>
        <rFont val="Calibri"/>
        <family val="2"/>
        <scheme val="minor"/>
      </rPr>
      <t>Présentation de l'outil</t>
    </r>
    <r>
      <rPr>
        <sz val="11"/>
        <color theme="1"/>
        <rFont val="Calibri"/>
        <family val="2"/>
        <scheme val="minor"/>
      </rPr>
      <t xml:space="preserve">
</t>
    </r>
    <r>
      <rPr>
        <sz val="14"/>
        <color theme="1"/>
        <rFont val="Calibri"/>
        <family val="2"/>
        <scheme val="minor"/>
      </rPr>
      <t>Cet outil vous permet de calculer les niveaux d'autonomie massique, protéique et énergétique de votre exploitation. Il vous permet aussi de connaitre le niveau de réponse de votre exploitation aux besoins alimentaires de votre troupeau par votre production de fourrages et d'aliments grossiers. Votre efficience économique et votre chargement à l'hectare sont également calculés. 
Le but de l'outil est de vous donner un aperçu de votre niveau d'autonomie en peu de temps. Le niveau d'autonomie que vous obtiendrez est donc un compromis entre le temps de calcul et la précision.
Tout est calculé en fonction des données propres à votre exploitation que vous devez introduire en suivant les consignes ci-dessous.</t>
    </r>
    <r>
      <rPr>
        <sz val="12.5"/>
        <color theme="1"/>
        <rFont val="Calibri"/>
        <family val="2"/>
        <scheme val="minor"/>
      </rPr>
      <t xml:space="preserve">
</t>
    </r>
    <r>
      <rPr>
        <sz val="11"/>
        <color theme="1"/>
        <rFont val="Calibri"/>
        <family val="2"/>
        <scheme val="minor"/>
      </rPr>
      <t xml:space="preserve">
</t>
    </r>
    <r>
      <rPr>
        <b/>
        <sz val="16"/>
        <color theme="1"/>
        <rFont val="Calibri"/>
        <family val="2"/>
        <scheme val="minor"/>
      </rPr>
      <t>Consignes</t>
    </r>
    <r>
      <rPr>
        <sz val="11"/>
        <color theme="1"/>
        <rFont val="Calibri"/>
        <family val="2"/>
        <scheme val="minor"/>
      </rPr>
      <t xml:space="preserve">
</t>
    </r>
    <r>
      <rPr>
        <sz val="14"/>
        <color theme="1"/>
        <rFont val="Calibri"/>
        <family val="2"/>
        <scheme val="minor"/>
      </rPr>
      <t xml:space="preserve">• Introduisez vos données ou vos informations uniquement dans les cellules de couleur </t>
    </r>
    <r>
      <rPr>
        <u/>
        <sz val="14"/>
        <color theme="9"/>
        <rFont val="Calibri"/>
        <family val="2"/>
        <scheme val="minor"/>
      </rPr>
      <t>verte</t>
    </r>
    <r>
      <rPr>
        <sz val="14"/>
        <color theme="1"/>
        <rFont val="Calibri"/>
        <family val="2"/>
        <scheme val="minor"/>
      </rPr>
      <t xml:space="preserve">.
• Choisissez les données dans une liste déroulante pour les cellules de couleur </t>
    </r>
    <r>
      <rPr>
        <u/>
        <sz val="14"/>
        <color rgb="FF02BBE0"/>
        <rFont val="Calibri"/>
        <family val="2"/>
        <scheme val="minor"/>
      </rPr>
      <t>bleue</t>
    </r>
    <r>
      <rPr>
        <sz val="14"/>
        <color theme="1"/>
        <rFont val="Calibri"/>
        <family val="2"/>
        <scheme val="minor"/>
      </rPr>
      <t xml:space="preserve">.
• Lisez les commentaires liés aux cellules possédant dans leur coin supérieur droit un petit triangle </t>
    </r>
    <r>
      <rPr>
        <u/>
        <sz val="14"/>
        <color rgb="FFFF0000"/>
        <rFont val="Calibri"/>
        <family val="2"/>
        <scheme val="minor"/>
      </rPr>
      <t>rouge</t>
    </r>
    <r>
      <rPr>
        <sz val="14"/>
        <color theme="1"/>
        <rFont val="Calibri"/>
        <family val="2"/>
        <scheme val="minor"/>
      </rPr>
      <t xml:space="preserve"> en plaçant votre curseur sur cette cellule.
• Pour insérer vos données, il faut toujours double-cliquer sur la cellule concernée.
• Les valeurs énergétiques et protéiques de nombreux fourrages et aliments se trouvent dans la feuille Excel "Annexe1".
• Munissez-vous de votre comptabilité de gestion, d'un listing complet des achats extérieurs d'aliments (avec les quantités, les prix, ...) et de votre déclaration de superficie PAC pour votre assolement si besoin.
</t>
    </r>
    <r>
      <rPr>
        <sz val="11"/>
        <color theme="1"/>
        <rFont val="Calibri"/>
        <family val="2"/>
        <scheme val="minor"/>
      </rPr>
      <t xml:space="preserve">
</t>
    </r>
    <r>
      <rPr>
        <b/>
        <sz val="16"/>
        <color theme="1"/>
        <rFont val="Calibri"/>
        <family val="2"/>
        <scheme val="minor"/>
      </rPr>
      <t>Attention</t>
    </r>
    <r>
      <rPr>
        <sz val="11"/>
        <color theme="1"/>
        <rFont val="Calibri"/>
        <family val="2"/>
        <scheme val="minor"/>
      </rPr>
      <t xml:space="preserve">
</t>
    </r>
    <r>
      <rPr>
        <sz val="14"/>
        <color theme="1"/>
        <rFont val="Calibri"/>
        <family val="2"/>
        <scheme val="minor"/>
      </rPr>
      <t xml:space="preserve">Si l'exploitation détient un troupeau laitier et viandeux et que ce dernier représente plus de 20% du nombre total d'UGB de l'exploitation, alors les coûts de production des fourrages </t>
    </r>
    <r>
      <rPr>
        <u/>
        <sz val="14"/>
        <color theme="1"/>
        <rFont val="Calibri"/>
        <family val="2"/>
        <scheme val="minor"/>
      </rPr>
      <t>par litre de lait</t>
    </r>
    <r>
      <rPr>
        <sz val="14"/>
        <color theme="1"/>
        <rFont val="Calibri"/>
        <family val="2"/>
        <scheme val="minor"/>
      </rPr>
      <t xml:space="preserve"> et la marge brute de l'exploitation </t>
    </r>
    <r>
      <rPr>
        <u/>
        <sz val="14"/>
        <color theme="1"/>
        <rFont val="Calibri"/>
        <family val="2"/>
        <scheme val="minor"/>
      </rPr>
      <t>par litre de lait</t>
    </r>
    <r>
      <rPr>
        <sz val="14"/>
        <color theme="1"/>
        <rFont val="Calibri"/>
        <family val="2"/>
        <scheme val="minor"/>
      </rPr>
      <t xml:space="preserve"> ne sont pas calculés car ces valeurs ne seraient pas justes.
</t>
    </r>
    <r>
      <rPr>
        <sz val="11"/>
        <color theme="1"/>
        <rFont val="Calibri"/>
        <family val="2"/>
        <scheme val="minor"/>
      </rPr>
      <t xml:space="preserve">
</t>
    </r>
    <r>
      <rPr>
        <b/>
        <sz val="16"/>
        <color theme="1"/>
        <rFont val="Calibri"/>
        <family val="2"/>
        <scheme val="minor"/>
      </rPr>
      <t>Sources</t>
    </r>
    <r>
      <rPr>
        <sz val="11"/>
        <color theme="1"/>
        <rFont val="Calibri"/>
        <family val="2"/>
        <scheme val="minor"/>
      </rPr>
      <t xml:space="preserve">
</t>
    </r>
    <r>
      <rPr>
        <sz val="14"/>
        <color theme="1"/>
        <rFont val="Calibri"/>
        <family val="2"/>
        <scheme val="minor"/>
      </rPr>
      <t>Les valeurs et les formules utilisées dans cet outil ont été inspirées de documents et rapports provenant de chez Fourrages-Mieux, du CRA-W, de Requasud, de l'Institut de l'Elevage, du SPW et PAC-on-Web, de l'ULG (faculté de Gembloux Agro-Bio Tech), de l'INRA, et de Chambres d'agriculture en France.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</si>
</sst>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2">
    <numFmt numFmtId="164" formatCode="#0.00\ &quot;Ha&quot;"/>
    <numFmt numFmtId="165" formatCode="#0.00\ &quot;T&quot;"/>
    <numFmt numFmtId="166" formatCode="#0.00\ &quot;VEM&quot;"/>
    <numFmt numFmtId="167" formatCode="#0.00\ &quot;UGB&quot;"/>
    <numFmt numFmtId="168" formatCode="#0.00\ &quot;Kg de lait/vache&quot;"/>
    <numFmt numFmtId="169" formatCode="#0.00\ &quot;Kg MS/an&quot;"/>
    <numFmt numFmtId="170" formatCode="#0.00\ &quot;VEM/an&quot;"/>
    <numFmt numFmtId="171" formatCode="#0.00\ &quot;g de DVE/an&quot;"/>
    <numFmt numFmtId="172" formatCode="#0.00\ &quot;Bêtes&quot;"/>
    <numFmt numFmtId="173" formatCode="#0\ &quot;Bêtes&quot;"/>
    <numFmt numFmtId="174" formatCode="#0.00\ &quot;€/T&quot;"/>
    <numFmt numFmtId="175" formatCode="#,##0.00\ &quot;€&quot;"/>
    <numFmt numFmtId="176" formatCode="#0.00\ &quot;T de MS&quot;"/>
    <numFmt numFmtId="177" formatCode="#0.00\ &quot;VEM/T de MS&quot;"/>
    <numFmt numFmtId="178" formatCode="#0.00\ &quot;Kg de DVE/T de MS&quot;"/>
    <numFmt numFmtId="179" formatCode="#0.00\ &quot;Kg de DVE&quot;"/>
    <numFmt numFmtId="180" formatCode="#0.00\ &quot;T de MF&quot;"/>
    <numFmt numFmtId="181" formatCode="#0.00\ &quot;T/Ha&quot;"/>
    <numFmt numFmtId="182" formatCode="#0.00\ &quot;€/Ha&quot;"/>
    <numFmt numFmtId="183" formatCode="#0.00\ &quot;€/T MS&quot;"/>
    <numFmt numFmtId="184" formatCode="#0.00\ &quot;T MS/Ha&quot;"/>
    <numFmt numFmtId="185" formatCode="#0.00\ &quot;Kg&quot;"/>
    <numFmt numFmtId="186" formatCode="#0.00\ &quot;€/an&quot;"/>
    <numFmt numFmtId="187" formatCode="#0.00\ &quot;€/Kg&quot;"/>
    <numFmt numFmtId="188" formatCode="#0.00\ &quot;g de DVE&quot;"/>
    <numFmt numFmtId="189" formatCode="#0.00\ &quot;UGB/Ha&quot;"/>
    <numFmt numFmtId="190" formatCode="#0.00\ &quot;VEM Totaux&quot;"/>
    <numFmt numFmtId="191" formatCode="#0.00\ &quot;Kg de DVE Totaux&quot;"/>
    <numFmt numFmtId="192" formatCode="#0.00\ &quot;L&quot;"/>
    <numFmt numFmtId="193" formatCode="0.00&quot;%&quot;"/>
    <numFmt numFmtId="194" formatCode="#0.00\ &quot;g de DVE/kg de MS&quot;"/>
    <numFmt numFmtId="195" formatCode="#0.00\ &quot;VEM/kg de MS&quot;"/>
  </numFmts>
  <fonts count="38" x14ac:knownFonts="1">
    <font>
      <sz val="11"/>
      <color theme="1"/>
      <name val="Calibri"/>
      <family val="2"/>
      <scheme val="minor"/>
    </font>
    <font>
      <b/>
      <sz val="16"/>
      <color theme="1"/>
      <name val="Calibri"/>
      <family val="2"/>
      <scheme val="minor"/>
    </font>
    <font>
      <sz val="12"/>
      <color theme="1"/>
      <name val="Calibri"/>
      <family val="2"/>
      <scheme val="minor"/>
    </font>
    <font>
      <b/>
      <sz val="20"/>
      <color rgb="FFFF0000"/>
      <name val="Calibri"/>
      <family val="2"/>
      <scheme val="minor"/>
    </font>
    <font>
      <b/>
      <sz val="20"/>
      <color theme="1"/>
      <name val="Calibri"/>
      <family val="2"/>
      <scheme val="minor"/>
    </font>
    <font>
      <b/>
      <sz val="14"/>
      <color theme="1"/>
      <name val="Calibri"/>
      <family val="2"/>
      <scheme val="minor"/>
    </font>
    <font>
      <sz val="11"/>
      <color theme="1"/>
      <name val="Calibri"/>
      <family val="2"/>
      <scheme val="minor"/>
    </font>
    <font>
      <sz val="14"/>
      <color theme="1"/>
      <name val="Calibri"/>
      <family val="2"/>
      <scheme val="minor"/>
    </font>
    <font>
      <sz val="14"/>
      <name val="Calibri"/>
      <family val="2"/>
      <scheme val="minor"/>
    </font>
    <font>
      <sz val="20"/>
      <color rgb="FFFF0000"/>
      <name val="Calibri"/>
      <family val="2"/>
      <scheme val="minor"/>
    </font>
    <font>
      <b/>
      <sz val="20"/>
      <name val="Calibri"/>
      <family val="2"/>
      <scheme val="minor"/>
    </font>
    <font>
      <b/>
      <sz val="16"/>
      <name val="Calibri"/>
      <family val="2"/>
      <scheme val="minor"/>
    </font>
    <font>
      <sz val="9"/>
      <color indexed="81"/>
      <name val="Tahoma"/>
      <family val="2"/>
    </font>
    <font>
      <b/>
      <sz val="12"/>
      <color indexed="81"/>
      <name val="Tahoma"/>
      <family val="2"/>
    </font>
    <font>
      <sz val="12"/>
      <color indexed="81"/>
      <name val="Tahoma"/>
      <family val="2"/>
    </font>
    <font>
      <b/>
      <sz val="14"/>
      <name val="Calibri"/>
      <family val="2"/>
      <scheme val="minor"/>
    </font>
    <font>
      <b/>
      <sz val="12"/>
      <color theme="1"/>
      <name val="Calibri"/>
      <family val="2"/>
      <scheme val="minor"/>
    </font>
    <font>
      <sz val="12"/>
      <color theme="9" tint="-0.499984740745262"/>
      <name val="Calibri"/>
      <family val="2"/>
      <scheme val="minor"/>
    </font>
    <font>
      <b/>
      <sz val="30"/>
      <color rgb="FFFF0000"/>
      <name val="Calibri"/>
      <family val="2"/>
      <scheme val="minor"/>
    </font>
    <font>
      <b/>
      <sz val="20"/>
      <color rgb="FFC00000"/>
      <name val="Calibri"/>
      <family val="2"/>
      <scheme val="minor"/>
    </font>
    <font>
      <sz val="12.5"/>
      <color theme="1"/>
      <name val="Calibri"/>
      <family val="2"/>
      <scheme val="minor"/>
    </font>
    <font>
      <sz val="16"/>
      <color theme="1"/>
      <name val="Calibri"/>
      <family val="2"/>
      <scheme val="minor"/>
    </font>
    <font>
      <sz val="11"/>
      <color theme="0"/>
      <name val="Calibri"/>
      <family val="2"/>
      <scheme val="minor"/>
    </font>
    <font>
      <b/>
      <sz val="16"/>
      <color theme="0"/>
      <name val="Calibri"/>
      <family val="2"/>
      <scheme val="minor"/>
    </font>
    <font>
      <b/>
      <sz val="20"/>
      <color theme="0"/>
      <name val="Calibri"/>
      <family val="2"/>
      <scheme val="minor"/>
    </font>
    <font>
      <sz val="20"/>
      <color theme="0"/>
      <name val="Calibri"/>
      <family val="2"/>
      <scheme val="minor"/>
    </font>
    <font>
      <sz val="16"/>
      <name val="Calibri"/>
      <family val="2"/>
      <scheme val="minor"/>
    </font>
    <font>
      <b/>
      <sz val="18"/>
      <color rgb="FFC00000"/>
      <name val="Calibri"/>
      <family val="2"/>
      <scheme val="minor"/>
    </font>
    <font>
      <sz val="11"/>
      <name val="Calibri"/>
      <family val="2"/>
      <scheme val="minor"/>
    </font>
    <font>
      <b/>
      <sz val="26"/>
      <color rgb="FFC00000"/>
      <name val="Calibri"/>
      <family val="2"/>
      <scheme val="minor"/>
    </font>
    <font>
      <b/>
      <sz val="18"/>
      <color theme="1"/>
      <name val="Calibri"/>
      <family val="2"/>
      <scheme val="minor"/>
    </font>
    <font>
      <sz val="14"/>
      <color rgb="FFC00000"/>
      <name val="Calibri"/>
      <family val="2"/>
      <scheme val="minor"/>
    </font>
    <font>
      <b/>
      <sz val="14"/>
      <color rgb="FF000000"/>
      <name val="Calibri"/>
      <family val="2"/>
      <scheme val="minor"/>
    </font>
    <font>
      <sz val="11"/>
      <color theme="1"/>
      <name val="Calibri"/>
      <family val="2"/>
    </font>
    <font>
      <u/>
      <sz val="14"/>
      <color theme="9"/>
      <name val="Calibri"/>
      <family val="2"/>
      <scheme val="minor"/>
    </font>
    <font>
      <u/>
      <sz val="14"/>
      <color rgb="FF02BBE0"/>
      <name val="Calibri"/>
      <family val="2"/>
      <scheme val="minor"/>
    </font>
    <font>
      <u/>
      <sz val="14"/>
      <color rgb="FFFF0000"/>
      <name val="Calibri"/>
      <family val="2"/>
      <scheme val="minor"/>
    </font>
    <font>
      <u/>
      <sz val="14"/>
      <color theme="1"/>
      <name val="Calibri"/>
      <family val="2"/>
      <scheme val="minor"/>
    </font>
  </fonts>
  <fills count="10">
    <fill>
      <patternFill patternType="none"/>
    </fill>
    <fill>
      <patternFill patternType="gray125"/>
    </fill>
    <fill>
      <patternFill patternType="solid">
        <fgColor rgb="FFC2E49C"/>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rgb="FF622C0A"/>
        <bgColor indexed="64"/>
      </patternFill>
    </fill>
    <fill>
      <patternFill patternType="solid">
        <fgColor rgb="FFF0AC62"/>
        <bgColor indexed="64"/>
      </patternFill>
    </fill>
    <fill>
      <patternFill patternType="solid">
        <fgColor theme="4" tint="0.79998168889431442"/>
        <bgColor indexed="64"/>
      </patternFill>
    </fill>
  </fills>
  <borders count="8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style="medium">
        <color indexed="64"/>
      </top>
      <bottom style="thin">
        <color auto="1"/>
      </bottom>
      <diagonal/>
    </border>
    <border>
      <left style="thin">
        <color auto="1"/>
      </left>
      <right style="thin">
        <color auto="1"/>
      </right>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auto="1"/>
      </right>
      <top/>
      <bottom style="medium">
        <color indexed="64"/>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bottom style="thin">
        <color auto="1"/>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right style="thin">
        <color auto="1"/>
      </right>
      <top style="medium">
        <color indexed="64"/>
      </top>
      <bottom style="medium">
        <color indexed="64"/>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medium">
        <color indexed="64"/>
      </top>
      <bottom style="medium">
        <color indexed="64"/>
      </bottom>
      <diagonal/>
    </border>
    <border>
      <left/>
      <right style="thin">
        <color auto="1"/>
      </right>
      <top style="medium">
        <color indexed="64"/>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thin">
        <color auto="1"/>
      </left>
      <right/>
      <top style="medium">
        <color indexed="64"/>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indexed="64"/>
      </bottom>
      <diagonal/>
    </border>
    <border>
      <left style="thin">
        <color auto="1"/>
      </left>
      <right/>
      <top/>
      <bottom style="medium">
        <color indexed="64"/>
      </bottom>
      <diagonal/>
    </border>
    <border>
      <left style="thin">
        <color auto="1"/>
      </left>
      <right/>
      <top/>
      <bottom/>
      <diagonal/>
    </border>
    <border>
      <left/>
      <right style="medium">
        <color indexed="64"/>
      </right>
      <top/>
      <bottom style="medium">
        <color indexed="64"/>
      </bottom>
      <diagonal/>
    </border>
    <border>
      <left/>
      <right style="thin">
        <color auto="1"/>
      </right>
      <top/>
      <bottom/>
      <diagonal/>
    </border>
    <border>
      <left/>
      <right/>
      <top/>
      <bottom style="medium">
        <color indexed="64"/>
      </bottom>
      <diagonal/>
    </border>
    <border>
      <left style="medium">
        <color indexed="64"/>
      </left>
      <right/>
      <top style="medium">
        <color indexed="64"/>
      </top>
      <bottom/>
      <diagonal/>
    </border>
    <border>
      <left style="thin">
        <color auto="1"/>
      </left>
      <right style="thin">
        <color auto="1"/>
      </right>
      <top/>
      <bottom/>
      <diagonal/>
    </border>
    <border>
      <left/>
      <right style="thin">
        <color auto="1"/>
      </right>
      <top style="thin">
        <color auto="1"/>
      </top>
      <bottom/>
      <diagonal/>
    </border>
    <border>
      <left style="medium">
        <color indexed="64"/>
      </left>
      <right/>
      <top/>
      <bottom/>
      <diagonal/>
    </border>
    <border>
      <left style="medium">
        <color indexed="64"/>
      </left>
      <right/>
      <top style="medium">
        <color indexed="64"/>
      </top>
      <bottom style="thin">
        <color auto="1"/>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thin">
        <color auto="1"/>
      </left>
      <right/>
      <top/>
      <bottom style="thin">
        <color auto="1"/>
      </bottom>
      <diagonal/>
    </border>
    <border>
      <left/>
      <right style="thin">
        <color auto="1"/>
      </right>
      <top style="medium">
        <color indexed="64"/>
      </top>
      <bottom/>
      <diagonal/>
    </border>
    <border>
      <left style="thin">
        <color auto="1"/>
      </left>
      <right style="thin">
        <color auto="1"/>
      </right>
      <top style="medium">
        <color indexed="64"/>
      </top>
      <bottom/>
      <diagonal/>
    </border>
    <border>
      <left style="thin">
        <color auto="1"/>
      </left>
      <right/>
      <top style="medium">
        <color indexed="64"/>
      </top>
      <bottom/>
      <diagonal/>
    </border>
    <border>
      <left style="medium">
        <color indexed="64"/>
      </left>
      <right style="medium">
        <color indexed="64"/>
      </right>
      <top/>
      <bottom style="thin">
        <color auto="1"/>
      </bottom>
      <diagonal/>
    </border>
    <border>
      <left style="medium">
        <color indexed="64"/>
      </left>
      <right/>
      <top style="thin">
        <color auto="1"/>
      </top>
      <bottom/>
      <diagonal/>
    </border>
    <border>
      <left style="medium">
        <color indexed="64"/>
      </left>
      <right style="medium">
        <color indexed="64"/>
      </right>
      <top style="thin">
        <color auto="1"/>
      </top>
      <bottom/>
      <diagonal/>
    </border>
    <border>
      <left style="thin">
        <color auto="1"/>
      </left>
      <right/>
      <top style="thin">
        <color auto="1"/>
      </top>
      <bottom/>
      <diagonal/>
    </border>
    <border>
      <left style="medium">
        <color indexed="64"/>
      </left>
      <right/>
      <top/>
      <bottom style="thin">
        <color auto="1"/>
      </bottom>
      <diagonal/>
    </border>
    <border>
      <left/>
      <right/>
      <top style="medium">
        <color indexed="64"/>
      </top>
      <bottom style="thin">
        <color auto="1"/>
      </bottom>
      <diagonal/>
    </border>
    <border>
      <left/>
      <right/>
      <top style="thin">
        <color auto="1"/>
      </top>
      <bottom style="medium">
        <color indexed="64"/>
      </bottom>
      <diagonal/>
    </border>
    <border>
      <left style="medium">
        <color indexed="64"/>
      </left>
      <right style="thin">
        <color auto="1"/>
      </right>
      <top/>
      <bottom/>
      <diagonal/>
    </border>
    <border>
      <left style="medium">
        <color indexed="64"/>
      </left>
      <right style="medium">
        <color indexed="64"/>
      </right>
      <top/>
      <bottom/>
      <diagonal/>
    </border>
    <border>
      <left style="thin">
        <color auto="1"/>
      </left>
      <right style="medium">
        <color indexed="64"/>
      </right>
      <top style="medium">
        <color indexed="64"/>
      </top>
      <bottom/>
      <diagonal/>
    </border>
    <border>
      <left style="medium">
        <color indexed="64"/>
      </left>
      <right style="thin">
        <color auto="1"/>
      </right>
      <top style="thin">
        <color theme="4" tint="0.39997558519241921"/>
      </top>
      <bottom style="thin">
        <color auto="1"/>
      </bottom>
      <diagonal/>
    </border>
    <border>
      <left style="thin">
        <color auto="1"/>
      </left>
      <right style="medium">
        <color indexed="64"/>
      </right>
      <top style="thin">
        <color theme="4" tint="0.39997558519241921"/>
      </top>
      <bottom style="thin">
        <color auto="1"/>
      </bottom>
      <diagonal/>
    </border>
    <border>
      <left style="medium">
        <color indexed="64"/>
      </left>
      <right style="thin">
        <color auto="1"/>
      </right>
      <top style="thin">
        <color auto="1"/>
      </top>
      <bottom style="thin">
        <color theme="4" tint="0.39997558519241921"/>
      </bottom>
      <diagonal/>
    </border>
    <border>
      <left style="thin">
        <color auto="1"/>
      </left>
      <right style="medium">
        <color indexed="64"/>
      </right>
      <top style="thin">
        <color auto="1"/>
      </top>
      <bottom style="thin">
        <color theme="4" tint="0.39997558519241921"/>
      </bottom>
      <diagonal/>
    </border>
    <border>
      <left/>
      <right style="thin">
        <color auto="1"/>
      </right>
      <top style="thin">
        <color auto="1"/>
      </top>
      <bottom style="medium">
        <color indexed="64"/>
      </bottom>
      <diagonal/>
    </border>
  </borders>
  <cellStyleXfs count="2">
    <xf numFmtId="0" fontId="0" fillId="0" borderId="0"/>
    <xf numFmtId="9" fontId="6" fillId="0" borderId="0" applyFont="0" applyFill="0" applyBorder="0" applyAlignment="0" applyProtection="0"/>
  </cellStyleXfs>
  <cellXfs count="574">
    <xf numFmtId="0" fontId="0" fillId="0" borderId="0" xfId="0"/>
    <xf numFmtId="0" fontId="3" fillId="0" borderId="0" xfId="0" applyFont="1" applyBorder="1" applyAlignment="1">
      <alignment horizontal="center"/>
    </xf>
    <xf numFmtId="0" fontId="3" fillId="0" borderId="0" xfId="0" applyNumberFormat="1" applyFont="1" applyBorder="1" applyAlignment="1">
      <alignment horizontal="center"/>
    </xf>
    <xf numFmtId="0" fontId="0" fillId="0" borderId="0" xfId="0"/>
    <xf numFmtId="0" fontId="0" fillId="0" borderId="0" xfId="0" applyFont="1" applyFill="1" applyBorder="1"/>
    <xf numFmtId="0" fontId="0" fillId="0" borderId="0" xfId="0"/>
    <xf numFmtId="0" fontId="0" fillId="0" borderId="0" xfId="0" applyFill="1" applyBorder="1"/>
    <xf numFmtId="0" fontId="0" fillId="0" borderId="0" xfId="0" applyFill="1" applyBorder="1" applyAlignment="1">
      <alignment horizontal="center"/>
    </xf>
    <xf numFmtId="0" fontId="9" fillId="0" borderId="0" xfId="0" applyFont="1" applyBorder="1" applyAlignment="1">
      <alignment horizontal="center"/>
    </xf>
    <xf numFmtId="0" fontId="5" fillId="0" borderId="13" xfId="0" applyFont="1" applyBorder="1" applyAlignment="1">
      <alignment horizontal="left"/>
    </xf>
    <xf numFmtId="0" fontId="15" fillId="0" borderId="9" xfId="0" applyFont="1" applyBorder="1" applyAlignment="1">
      <alignment horizontal="left"/>
    </xf>
    <xf numFmtId="0" fontId="5" fillId="0" borderId="11" xfId="0" applyFont="1" applyBorder="1" applyAlignment="1">
      <alignment horizontal="left"/>
    </xf>
    <xf numFmtId="0" fontId="0" fillId="0" borderId="0" xfId="0" applyAlignment="1">
      <alignment wrapText="1"/>
    </xf>
    <xf numFmtId="0" fontId="0" fillId="0" borderId="7" xfId="0" applyBorder="1"/>
    <xf numFmtId="0" fontId="0" fillId="0" borderId="0" xfId="0" applyBorder="1"/>
    <xf numFmtId="0" fontId="4" fillId="0" borderId="0" xfId="0" applyFont="1" applyFill="1" applyBorder="1" applyAlignment="1">
      <alignment horizontal="center"/>
    </xf>
    <xf numFmtId="0" fontId="7" fillId="0" borderId="19" xfId="0" applyFont="1" applyBorder="1"/>
    <xf numFmtId="0" fontId="18" fillId="0" borderId="0" xfId="0" applyFont="1" applyBorder="1" applyAlignment="1">
      <alignment horizontal="center"/>
    </xf>
    <xf numFmtId="0" fontId="1" fillId="0" borderId="0" xfId="0" applyFont="1" applyFill="1" applyBorder="1"/>
    <xf numFmtId="186" fontId="1" fillId="0" borderId="0" xfId="0" applyNumberFormat="1" applyFont="1" applyFill="1" applyBorder="1" applyAlignment="1">
      <alignment horizontal="center"/>
    </xf>
    <xf numFmtId="0" fontId="0" fillId="0" borderId="0" xfId="0"/>
    <xf numFmtId="0" fontId="0" fillId="0" borderId="0" xfId="0" applyBorder="1" applyAlignment="1"/>
    <xf numFmtId="0" fontId="0" fillId="0" borderId="55" xfId="0" applyBorder="1"/>
    <xf numFmtId="0" fontId="0" fillId="0" borderId="59" xfId="0" applyBorder="1"/>
    <xf numFmtId="0" fontId="7" fillId="0" borderId="11" xfId="0" applyFont="1" applyBorder="1" applyAlignment="1">
      <alignment horizontal="left" vertical="center"/>
    </xf>
    <xf numFmtId="0" fontId="7" fillId="0" borderId="13" xfId="0" applyFont="1" applyFill="1" applyBorder="1" applyAlignment="1">
      <alignment horizontal="left" vertical="center"/>
    </xf>
    <xf numFmtId="0" fontId="16" fillId="5" borderId="11" xfId="0" applyFont="1" applyFill="1" applyBorder="1" applyAlignment="1">
      <alignment horizontal="left" vertical="center"/>
    </xf>
    <xf numFmtId="181" fontId="2" fillId="2" borderId="63" xfId="0" applyNumberFormat="1" applyFont="1" applyFill="1" applyBorder="1" applyAlignment="1" applyProtection="1">
      <alignment horizontal="left" vertical="center"/>
      <protection locked="0"/>
    </xf>
    <xf numFmtId="165" fontId="2" fillId="3" borderId="48" xfId="0" applyNumberFormat="1" applyFont="1" applyFill="1" applyBorder="1" applyAlignment="1">
      <alignment horizontal="left" vertical="center"/>
    </xf>
    <xf numFmtId="10" fontId="2" fillId="2" borderId="52" xfId="1" applyNumberFormat="1" applyFont="1" applyFill="1" applyBorder="1" applyAlignment="1" applyProtection="1">
      <alignment horizontal="left" vertical="center"/>
      <protection locked="0"/>
    </xf>
    <xf numFmtId="165" fontId="2" fillId="3" borderId="56" xfId="0" applyNumberFormat="1" applyFont="1" applyFill="1" applyBorder="1" applyAlignment="1">
      <alignment horizontal="left" vertical="center"/>
    </xf>
    <xf numFmtId="0" fontId="2" fillId="5" borderId="11" xfId="0" applyFont="1" applyFill="1" applyBorder="1" applyAlignment="1">
      <alignment horizontal="left" vertical="center"/>
    </xf>
    <xf numFmtId="181" fontId="2" fillId="2" borderId="1" xfId="0" applyNumberFormat="1" applyFont="1" applyFill="1" applyBorder="1" applyAlignment="1" applyProtection="1">
      <alignment horizontal="left" vertical="center"/>
      <protection locked="0"/>
    </xf>
    <xf numFmtId="165" fontId="2" fillId="3" borderId="45" xfId="0" applyNumberFormat="1" applyFont="1" applyFill="1" applyBorder="1" applyAlignment="1">
      <alignment horizontal="left" vertical="center"/>
    </xf>
    <xf numFmtId="10" fontId="2" fillId="2" borderId="42" xfId="1" applyNumberFormat="1" applyFont="1" applyFill="1" applyBorder="1" applyAlignment="1" applyProtection="1">
      <alignment horizontal="left" vertical="center"/>
      <protection locked="0"/>
    </xf>
    <xf numFmtId="165" fontId="2" fillId="3" borderId="42" xfId="0" applyNumberFormat="1" applyFont="1" applyFill="1" applyBorder="1" applyAlignment="1">
      <alignment horizontal="left" vertical="center"/>
    </xf>
    <xf numFmtId="0" fontId="2" fillId="5" borderId="15" xfId="0" applyFont="1" applyFill="1" applyBorder="1" applyAlignment="1">
      <alignment horizontal="left" vertical="center"/>
    </xf>
    <xf numFmtId="181" fontId="2" fillId="2" borderId="47" xfId="0" applyNumberFormat="1" applyFont="1" applyFill="1" applyBorder="1" applyAlignment="1" applyProtection="1">
      <alignment horizontal="left" vertical="center"/>
      <protection locked="0"/>
    </xf>
    <xf numFmtId="10" fontId="2" fillId="2" borderId="22" xfId="1" applyNumberFormat="1" applyFont="1" applyFill="1" applyBorder="1" applyAlignment="1" applyProtection="1">
      <alignment horizontal="left" vertical="center"/>
      <protection locked="0"/>
    </xf>
    <xf numFmtId="165" fontId="2" fillId="3" borderId="57" xfId="0" applyNumberFormat="1" applyFont="1" applyFill="1" applyBorder="1" applyAlignment="1">
      <alignment horizontal="left" vertical="center"/>
    </xf>
    <xf numFmtId="0" fontId="16" fillId="5" borderId="42" xfId="0" applyFont="1" applyFill="1" applyBorder="1" applyAlignment="1">
      <alignment horizontal="left" vertical="center"/>
    </xf>
    <xf numFmtId="181" fontId="2" fillId="2" borderId="24" xfId="0" applyNumberFormat="1" applyFont="1" applyFill="1" applyBorder="1" applyAlignment="1" applyProtection="1">
      <alignment horizontal="left" vertical="center"/>
      <protection locked="0"/>
    </xf>
    <xf numFmtId="165" fontId="2" fillId="3" borderId="70" xfId="0" applyNumberFormat="1" applyFont="1" applyFill="1" applyBorder="1" applyAlignment="1">
      <alignment horizontal="left" vertical="center"/>
    </xf>
    <xf numFmtId="10" fontId="2" fillId="2" borderId="56" xfId="1" applyNumberFormat="1" applyFont="1" applyFill="1" applyBorder="1" applyAlignment="1" applyProtection="1">
      <alignment horizontal="left" vertical="center"/>
      <protection locked="0"/>
    </xf>
    <xf numFmtId="165" fontId="2" fillId="3" borderId="65" xfId="0" applyNumberFormat="1" applyFont="1" applyFill="1" applyBorder="1" applyAlignment="1">
      <alignment horizontal="left" vertical="center"/>
    </xf>
    <xf numFmtId="0" fontId="2" fillId="5" borderId="42" xfId="0" applyFont="1" applyFill="1" applyBorder="1" applyAlignment="1">
      <alignment horizontal="left" vertical="center"/>
    </xf>
    <xf numFmtId="165" fontId="2" fillId="3" borderId="38" xfId="0" applyNumberFormat="1" applyFont="1" applyFill="1" applyBorder="1" applyAlignment="1">
      <alignment horizontal="left" vertical="center"/>
    </xf>
    <xf numFmtId="165" fontId="2" fillId="3" borderId="35" xfId="0" applyNumberFormat="1" applyFont="1" applyFill="1" applyBorder="1" applyAlignment="1">
      <alignment horizontal="left" vertical="center"/>
    </xf>
    <xf numFmtId="0" fontId="2" fillId="5" borderId="13" xfId="0" applyFont="1" applyFill="1" applyBorder="1" applyAlignment="1">
      <alignment horizontal="left" vertical="center"/>
    </xf>
    <xf numFmtId="181" fontId="2" fillId="2" borderId="3" xfId="0" applyNumberFormat="1" applyFont="1" applyFill="1" applyBorder="1" applyAlignment="1" applyProtection="1">
      <alignment horizontal="left" vertical="center"/>
      <protection locked="0"/>
    </xf>
    <xf numFmtId="165" fontId="2" fillId="3" borderId="39" xfId="0" applyNumberFormat="1" applyFont="1" applyFill="1" applyBorder="1" applyAlignment="1">
      <alignment horizontal="left" vertical="center"/>
    </xf>
    <xf numFmtId="10" fontId="2" fillId="2" borderId="57" xfId="1" applyNumberFormat="1" applyFont="1" applyFill="1" applyBorder="1" applyAlignment="1" applyProtection="1">
      <alignment horizontal="left" vertical="center"/>
      <protection locked="0"/>
    </xf>
    <xf numFmtId="165" fontId="2" fillId="3" borderId="36" xfId="0" applyNumberFormat="1" applyFont="1" applyFill="1" applyBorder="1" applyAlignment="1">
      <alignment horizontal="left" vertical="center"/>
    </xf>
    <xf numFmtId="0" fontId="16" fillId="5" borderId="9" xfId="0" applyFont="1" applyFill="1" applyBorder="1" applyAlignment="1">
      <alignment horizontal="left" vertical="center"/>
    </xf>
    <xf numFmtId="165" fontId="2" fillId="3" borderId="33" xfId="0" applyNumberFormat="1" applyFont="1" applyFill="1" applyBorder="1" applyAlignment="1">
      <alignment horizontal="left" vertical="center"/>
    </xf>
    <xf numFmtId="165" fontId="2" fillId="3" borderId="71" xfId="0" applyNumberFormat="1" applyFont="1" applyFill="1" applyBorder="1" applyAlignment="1">
      <alignment horizontal="left" vertical="center"/>
    </xf>
    <xf numFmtId="165" fontId="2" fillId="3" borderId="37" xfId="0" applyNumberFormat="1" applyFont="1" applyFill="1" applyBorder="1" applyAlignment="1">
      <alignment horizontal="left" vertical="center"/>
    </xf>
    <xf numFmtId="10" fontId="2" fillId="2" borderId="69" xfId="1" applyNumberFormat="1" applyFont="1" applyFill="1" applyBorder="1" applyAlignment="1" applyProtection="1">
      <alignment horizontal="left" vertical="center"/>
      <protection locked="0"/>
    </xf>
    <xf numFmtId="165" fontId="2" fillId="3" borderId="61" xfId="0" applyNumberFormat="1" applyFont="1" applyFill="1" applyBorder="1" applyAlignment="1">
      <alignment horizontal="left" vertical="center"/>
    </xf>
    <xf numFmtId="10" fontId="2" fillId="2" borderId="33" xfId="1" applyNumberFormat="1" applyFont="1" applyFill="1" applyBorder="1" applyAlignment="1" applyProtection="1">
      <alignment horizontal="left" vertical="center"/>
      <protection locked="0"/>
    </xf>
    <xf numFmtId="165" fontId="2" fillId="3" borderId="46" xfId="0" applyNumberFormat="1" applyFont="1" applyFill="1" applyBorder="1" applyAlignment="1">
      <alignment horizontal="left" vertical="center"/>
    </xf>
    <xf numFmtId="10" fontId="2" fillId="2" borderId="36" xfId="1" applyNumberFormat="1" applyFont="1" applyFill="1" applyBorder="1" applyAlignment="1" applyProtection="1">
      <alignment horizontal="left" vertical="center"/>
      <protection locked="0"/>
    </xf>
    <xf numFmtId="181" fontId="2" fillId="2" borderId="61" xfId="0" applyNumberFormat="1" applyFont="1" applyFill="1" applyBorder="1" applyAlignment="1" applyProtection="1">
      <alignment horizontal="left" vertical="center"/>
      <protection locked="0"/>
    </xf>
    <xf numFmtId="10" fontId="2" fillId="2" borderId="65" xfId="1" applyNumberFormat="1" applyFont="1" applyFill="1" applyBorder="1" applyAlignment="1" applyProtection="1">
      <alignment horizontal="left" vertical="center"/>
      <protection locked="0"/>
    </xf>
    <xf numFmtId="181" fontId="2" fillId="2" borderId="46" xfId="0" applyNumberFormat="1" applyFont="1" applyFill="1" applyBorder="1" applyAlignment="1" applyProtection="1">
      <alignment horizontal="left" vertical="center"/>
      <protection locked="0"/>
    </xf>
    <xf numFmtId="10" fontId="2" fillId="2" borderId="27" xfId="1" applyNumberFormat="1" applyFont="1" applyFill="1" applyBorder="1" applyAlignment="1" applyProtection="1">
      <alignment horizontal="left" vertical="center"/>
      <protection locked="0"/>
    </xf>
    <xf numFmtId="165" fontId="2" fillId="3" borderId="27" xfId="0" applyNumberFormat="1" applyFont="1" applyFill="1" applyBorder="1" applyAlignment="1">
      <alignment horizontal="left" vertical="center"/>
    </xf>
    <xf numFmtId="181" fontId="2" fillId="2" borderId="5" xfId="0" applyNumberFormat="1" applyFont="1" applyFill="1" applyBorder="1" applyAlignment="1" applyProtection="1">
      <alignment horizontal="left" vertical="center"/>
      <protection locked="0"/>
    </xf>
    <xf numFmtId="10" fontId="2" fillId="2" borderId="35" xfId="1" applyNumberFormat="1" applyFont="1" applyFill="1" applyBorder="1" applyAlignment="1" applyProtection="1">
      <alignment horizontal="left" vertical="center"/>
      <protection locked="0"/>
    </xf>
    <xf numFmtId="0" fontId="16" fillId="5" borderId="26" xfId="0" applyFont="1" applyFill="1" applyBorder="1" applyAlignment="1">
      <alignment horizontal="left" vertical="center"/>
    </xf>
    <xf numFmtId="165" fontId="2" fillId="3" borderId="69" xfId="0" applyNumberFormat="1" applyFont="1" applyFill="1" applyBorder="1" applyAlignment="1">
      <alignment horizontal="left" vertical="center"/>
    </xf>
    <xf numFmtId="181" fontId="2" fillId="2" borderId="45" xfId="0" applyNumberFormat="1" applyFont="1" applyFill="1" applyBorder="1" applyAlignment="1" applyProtection="1">
      <alignment horizontal="left" vertical="center"/>
      <protection locked="0"/>
    </xf>
    <xf numFmtId="165" fontId="2" fillId="3" borderId="66" xfId="0" applyNumberFormat="1" applyFont="1" applyFill="1" applyBorder="1" applyAlignment="1">
      <alignment horizontal="left" vertical="center"/>
    </xf>
    <xf numFmtId="181" fontId="2" fillId="2" borderId="44" xfId="0" applyNumberFormat="1" applyFont="1" applyFill="1" applyBorder="1" applyAlignment="1" applyProtection="1">
      <alignment horizontal="left" vertical="center"/>
      <protection locked="0"/>
    </xf>
    <xf numFmtId="0" fontId="2" fillId="5" borderId="17" xfId="0" applyFont="1" applyFill="1" applyBorder="1" applyAlignment="1">
      <alignment horizontal="left" vertical="center"/>
    </xf>
    <xf numFmtId="165" fontId="2" fillId="3" borderId="52" xfId="0" applyNumberFormat="1" applyFont="1" applyFill="1" applyBorder="1" applyAlignment="1">
      <alignment horizontal="left" vertical="center"/>
    </xf>
    <xf numFmtId="165" fontId="2" fillId="3" borderId="22" xfId="0" applyNumberFormat="1" applyFont="1" applyFill="1" applyBorder="1" applyAlignment="1">
      <alignment horizontal="left" vertical="center"/>
    </xf>
    <xf numFmtId="181" fontId="2" fillId="2" borderId="68" xfId="0" applyNumberFormat="1" applyFont="1" applyFill="1" applyBorder="1" applyAlignment="1" applyProtection="1">
      <alignment horizontal="left" vertical="center"/>
      <protection locked="0"/>
    </xf>
    <xf numFmtId="165" fontId="2" fillId="3" borderId="55" xfId="0" applyNumberFormat="1" applyFont="1" applyFill="1" applyBorder="1" applyAlignment="1">
      <alignment horizontal="left" vertical="center"/>
    </xf>
    <xf numFmtId="10" fontId="2" fillId="2" borderId="66" xfId="1" applyNumberFormat="1" applyFont="1" applyFill="1" applyBorder="1" applyAlignment="1" applyProtection="1">
      <alignment horizontal="left" vertical="center"/>
      <protection locked="0"/>
    </xf>
    <xf numFmtId="165" fontId="2" fillId="3" borderId="67" xfId="0" applyNumberFormat="1" applyFont="1" applyFill="1" applyBorder="1" applyAlignment="1">
      <alignment horizontal="left" vertical="center"/>
    </xf>
    <xf numFmtId="164" fontId="2" fillId="2" borderId="64" xfId="0" applyNumberFormat="1" applyFont="1" applyFill="1" applyBorder="1" applyAlignment="1" applyProtection="1">
      <alignment horizontal="left" vertical="center"/>
      <protection locked="0"/>
    </xf>
    <xf numFmtId="164" fontId="2" fillId="2" borderId="1" xfId="0" applyNumberFormat="1" applyFont="1" applyFill="1" applyBorder="1" applyAlignment="1" applyProtection="1">
      <alignment horizontal="left" vertical="center"/>
      <protection locked="0"/>
    </xf>
    <xf numFmtId="164" fontId="2" fillId="2" borderId="47" xfId="0" applyNumberFormat="1" applyFont="1" applyFill="1" applyBorder="1" applyAlignment="1" applyProtection="1">
      <alignment horizontal="left" vertical="center"/>
      <protection locked="0"/>
    </xf>
    <xf numFmtId="164" fontId="2" fillId="3" borderId="3" xfId="0" applyNumberFormat="1" applyFont="1" applyFill="1" applyBorder="1" applyAlignment="1" applyProtection="1">
      <alignment horizontal="left" vertical="center"/>
    </xf>
    <xf numFmtId="164" fontId="2" fillId="2" borderId="24" xfId="0" applyNumberFormat="1" applyFont="1" applyFill="1" applyBorder="1" applyAlignment="1" applyProtection="1">
      <alignment horizontal="left" vertical="center"/>
      <protection locked="0"/>
    </xf>
    <xf numFmtId="164" fontId="2" fillId="3" borderId="46" xfId="0" applyNumberFormat="1" applyFont="1" applyFill="1" applyBorder="1" applyAlignment="1" applyProtection="1">
      <alignment horizontal="left" vertical="center"/>
    </xf>
    <xf numFmtId="164" fontId="2" fillId="3" borderId="47" xfId="0" applyNumberFormat="1" applyFont="1" applyFill="1" applyBorder="1" applyAlignment="1" applyProtection="1">
      <alignment horizontal="left" vertical="center"/>
    </xf>
    <xf numFmtId="164" fontId="2" fillId="2" borderId="5" xfId="0" applyNumberFormat="1" applyFont="1" applyFill="1" applyBorder="1" applyAlignment="1" applyProtection="1">
      <alignment horizontal="left" vertical="center"/>
      <protection locked="0"/>
    </xf>
    <xf numFmtId="164" fontId="2" fillId="2" borderId="3" xfId="0" applyNumberFormat="1" applyFont="1" applyFill="1" applyBorder="1" applyAlignment="1" applyProtection="1">
      <alignment horizontal="left" vertical="center"/>
      <protection locked="0"/>
    </xf>
    <xf numFmtId="164" fontId="2" fillId="2" borderId="48" xfId="0" applyNumberFormat="1" applyFont="1" applyFill="1" applyBorder="1" applyAlignment="1" applyProtection="1">
      <alignment horizontal="left" vertical="center"/>
      <protection locked="0"/>
    </xf>
    <xf numFmtId="164" fontId="2" fillId="2" borderId="44" xfId="0" applyNumberFormat="1" applyFont="1" applyFill="1" applyBorder="1" applyAlignment="1" applyProtection="1">
      <alignment horizontal="left" vertical="center"/>
      <protection locked="0"/>
    </xf>
    <xf numFmtId="0" fontId="7" fillId="2" borderId="1" xfId="0" applyFont="1" applyFill="1" applyBorder="1" applyAlignment="1" applyProtection="1">
      <alignment horizontal="left" vertical="center"/>
      <protection locked="0"/>
    </xf>
    <xf numFmtId="0" fontId="7" fillId="2" borderId="2" xfId="0" applyFont="1" applyFill="1" applyBorder="1" applyAlignment="1" applyProtection="1">
      <alignment horizontal="left" vertical="center"/>
      <protection locked="0"/>
    </xf>
    <xf numFmtId="164" fontId="7" fillId="2" borderId="12" xfId="0" applyNumberFormat="1" applyFont="1" applyFill="1" applyBorder="1" applyAlignment="1" applyProtection="1">
      <alignment horizontal="left" vertical="center"/>
      <protection locked="0"/>
    </xf>
    <xf numFmtId="164" fontId="7" fillId="2" borderId="18" xfId="0" applyNumberFormat="1" applyFont="1" applyFill="1" applyBorder="1" applyAlignment="1" applyProtection="1">
      <alignment horizontal="left" vertical="center"/>
      <protection locked="0"/>
    </xf>
    <xf numFmtId="166" fontId="7" fillId="3" borderId="63" xfId="0" applyNumberFormat="1" applyFont="1" applyFill="1" applyBorder="1" applyAlignment="1">
      <alignment horizontal="left"/>
    </xf>
    <xf numFmtId="164" fontId="7" fillId="2" borderId="1" xfId="0" applyNumberFormat="1" applyFont="1" applyFill="1" applyBorder="1" applyAlignment="1" applyProtection="1">
      <alignment horizontal="left" vertical="center"/>
      <protection locked="0"/>
    </xf>
    <xf numFmtId="184" fontId="7" fillId="2" borderId="1" xfId="0" applyNumberFormat="1" applyFont="1" applyFill="1" applyBorder="1" applyAlignment="1" applyProtection="1">
      <alignment horizontal="left" vertical="center"/>
      <protection locked="0"/>
    </xf>
    <xf numFmtId="179" fontId="7" fillId="3" borderId="74" xfId="0" applyNumberFormat="1" applyFont="1" applyFill="1" applyBorder="1" applyAlignment="1">
      <alignment horizontal="left"/>
    </xf>
    <xf numFmtId="179" fontId="7" fillId="3" borderId="12" xfId="0" applyNumberFormat="1" applyFont="1" applyFill="1" applyBorder="1" applyAlignment="1">
      <alignment horizontal="left"/>
    </xf>
    <xf numFmtId="179" fontId="7" fillId="3" borderId="25" xfId="0" applyNumberFormat="1" applyFont="1" applyFill="1" applyBorder="1" applyAlignment="1">
      <alignment horizontal="left"/>
    </xf>
    <xf numFmtId="0" fontId="8" fillId="6" borderId="11" xfId="0" applyFont="1" applyFill="1" applyBorder="1" applyAlignment="1">
      <alignment horizontal="left" vertical="center"/>
    </xf>
    <xf numFmtId="165" fontId="8" fillId="3" borderId="1" xfId="0" applyNumberFormat="1" applyFont="1" applyFill="1" applyBorder="1" applyAlignment="1">
      <alignment horizontal="left" vertical="center"/>
    </xf>
    <xf numFmtId="165" fontId="8" fillId="3" borderId="12" xfId="0" applyNumberFormat="1" applyFont="1" applyFill="1" applyBorder="1" applyAlignment="1">
      <alignment horizontal="left" vertical="center"/>
    </xf>
    <xf numFmtId="0" fontId="7" fillId="6" borderId="11" xfId="0" applyFont="1" applyFill="1" applyBorder="1" applyAlignment="1">
      <alignment horizontal="left" vertical="center"/>
    </xf>
    <xf numFmtId="165" fontId="7" fillId="3" borderId="1" xfId="0" applyNumberFormat="1" applyFont="1" applyFill="1" applyBorder="1" applyAlignment="1">
      <alignment horizontal="left" vertical="center"/>
    </xf>
    <xf numFmtId="165" fontId="7" fillId="3" borderId="12" xfId="0" applyNumberFormat="1" applyFont="1" applyFill="1" applyBorder="1" applyAlignment="1">
      <alignment horizontal="left" vertical="center"/>
    </xf>
    <xf numFmtId="165" fontId="7" fillId="3" borderId="0" xfId="0" applyNumberFormat="1" applyFont="1" applyFill="1" applyBorder="1" applyAlignment="1">
      <alignment horizontal="left" vertical="center"/>
    </xf>
    <xf numFmtId="0" fontId="7" fillId="6" borderId="13" xfId="0" applyFont="1" applyFill="1" applyBorder="1" applyAlignment="1">
      <alignment horizontal="left" vertical="center"/>
    </xf>
    <xf numFmtId="165" fontId="7" fillId="3" borderId="3" xfId="0" applyNumberFormat="1" applyFont="1" applyFill="1" applyBorder="1" applyAlignment="1">
      <alignment horizontal="left" vertical="center"/>
    </xf>
    <xf numFmtId="165" fontId="7" fillId="3" borderId="14" xfId="0" applyNumberFormat="1" applyFont="1" applyFill="1" applyBorder="1" applyAlignment="1">
      <alignment horizontal="left" vertical="center"/>
    </xf>
    <xf numFmtId="0" fontId="22" fillId="0" borderId="0" xfId="0" applyFont="1"/>
    <xf numFmtId="165" fontId="7" fillId="2" borderId="29" xfId="0" applyNumberFormat="1" applyFont="1" applyFill="1" applyBorder="1" applyAlignment="1" applyProtection="1">
      <alignment horizontal="left" vertical="center"/>
      <protection locked="0"/>
    </xf>
    <xf numFmtId="10" fontId="7" fillId="2" borderId="33" xfId="1" applyNumberFormat="1" applyFont="1" applyFill="1" applyBorder="1" applyAlignment="1" applyProtection="1">
      <alignment horizontal="left" vertical="center"/>
      <protection locked="0"/>
    </xf>
    <xf numFmtId="165" fontId="7" fillId="2" borderId="38" xfId="0" applyNumberFormat="1" applyFont="1" applyFill="1" applyBorder="1" applyAlignment="1" applyProtection="1">
      <alignment horizontal="left" vertical="center"/>
      <protection locked="0"/>
    </xf>
    <xf numFmtId="10" fontId="7" fillId="2" borderId="35" xfId="1" applyNumberFormat="1" applyFont="1" applyFill="1" applyBorder="1" applyAlignment="1" applyProtection="1">
      <alignment horizontal="left" vertical="center"/>
      <protection locked="0"/>
    </xf>
    <xf numFmtId="165" fontId="7" fillId="2" borderId="0" xfId="0" applyNumberFormat="1" applyFont="1" applyFill="1" applyBorder="1" applyAlignment="1" applyProtection="1">
      <alignment horizontal="left" vertical="center"/>
      <protection locked="0"/>
    </xf>
    <xf numFmtId="10" fontId="7" fillId="2" borderId="36" xfId="1" applyNumberFormat="1" applyFont="1" applyFill="1" applyBorder="1" applyAlignment="1" applyProtection="1">
      <alignment horizontal="left" vertical="center"/>
      <protection locked="0"/>
    </xf>
    <xf numFmtId="178" fontId="7" fillId="2" borderId="33" xfId="0" applyNumberFormat="1" applyFont="1" applyFill="1" applyBorder="1" applyAlignment="1" applyProtection="1">
      <alignment horizontal="left" vertical="center"/>
      <protection locked="0"/>
    </xf>
    <xf numFmtId="178" fontId="7" fillId="2" borderId="35" xfId="0" applyNumberFormat="1" applyFont="1" applyFill="1" applyBorder="1" applyAlignment="1" applyProtection="1">
      <alignment horizontal="left" vertical="center"/>
      <protection locked="0"/>
    </xf>
    <xf numFmtId="178" fontId="7" fillId="2" borderId="36" xfId="0" applyNumberFormat="1" applyFont="1" applyFill="1" applyBorder="1" applyAlignment="1" applyProtection="1">
      <alignment horizontal="left" vertical="center"/>
      <protection locked="0"/>
    </xf>
    <xf numFmtId="0" fontId="7" fillId="5" borderId="33" xfId="0" applyFont="1" applyFill="1" applyBorder="1" applyAlignment="1">
      <alignment horizontal="left" vertical="center"/>
    </xf>
    <xf numFmtId="0" fontId="7" fillId="5" borderId="35" xfId="0" applyFont="1" applyFill="1" applyBorder="1" applyAlignment="1">
      <alignment horizontal="left" vertical="center"/>
    </xf>
    <xf numFmtId="0" fontId="7" fillId="5" borderId="67" xfId="0" applyFont="1" applyFill="1" applyBorder="1" applyAlignment="1">
      <alignment horizontal="left" vertical="center"/>
    </xf>
    <xf numFmtId="165" fontId="7" fillId="3" borderId="60" xfId="0" applyNumberFormat="1" applyFont="1" applyFill="1" applyBorder="1" applyAlignment="1">
      <alignment horizontal="left" vertical="center"/>
    </xf>
    <xf numFmtId="165" fontId="7" fillId="3" borderId="35" xfId="0" applyNumberFormat="1" applyFont="1" applyFill="1" applyBorder="1" applyAlignment="1">
      <alignment horizontal="left" vertical="center"/>
    </xf>
    <xf numFmtId="165" fontId="7" fillId="3" borderId="27" xfId="0" applyNumberFormat="1" applyFont="1" applyFill="1" applyBorder="1" applyAlignment="1">
      <alignment horizontal="left" vertical="center"/>
    </xf>
    <xf numFmtId="166" fontId="7" fillId="3" borderId="60" xfId="0" applyNumberFormat="1" applyFont="1" applyFill="1" applyBorder="1" applyAlignment="1" applyProtection="1">
      <alignment horizontal="left" vertical="center"/>
    </xf>
    <xf numFmtId="179" fontId="7" fillId="3" borderId="60" xfId="0" applyNumberFormat="1" applyFont="1" applyFill="1" applyBorder="1" applyAlignment="1" applyProtection="1">
      <alignment horizontal="left" vertical="center"/>
    </xf>
    <xf numFmtId="179" fontId="7" fillId="3" borderId="35" xfId="0" applyNumberFormat="1" applyFont="1" applyFill="1" applyBorder="1" applyAlignment="1" applyProtection="1">
      <alignment horizontal="left" vertical="center"/>
    </xf>
    <xf numFmtId="179" fontId="7" fillId="3" borderId="27" xfId="0" applyNumberFormat="1" applyFont="1" applyFill="1" applyBorder="1" applyAlignment="1" applyProtection="1">
      <alignment horizontal="left" vertical="center"/>
    </xf>
    <xf numFmtId="176" fontId="7" fillId="3" borderId="38" xfId="0" applyNumberFormat="1" applyFont="1" applyFill="1" applyBorder="1" applyAlignment="1">
      <alignment horizontal="left" vertical="center"/>
    </xf>
    <xf numFmtId="0" fontId="15" fillId="8" borderId="4" xfId="0" applyFont="1" applyFill="1" applyBorder="1" applyAlignment="1">
      <alignment horizontal="left" vertical="center"/>
    </xf>
    <xf numFmtId="0" fontId="15" fillId="8" borderId="63" xfId="0" applyFont="1" applyFill="1" applyBorder="1" applyAlignment="1">
      <alignment horizontal="left" vertical="center"/>
    </xf>
    <xf numFmtId="0" fontId="15" fillId="8" borderId="40" xfId="0" applyFont="1" applyFill="1" applyBorder="1" applyAlignment="1" applyProtection="1">
      <alignment horizontal="left" vertical="center"/>
    </xf>
    <xf numFmtId="0" fontId="15" fillId="8" borderId="34" xfId="0" applyFont="1" applyFill="1" applyBorder="1" applyAlignment="1">
      <alignment horizontal="left" vertical="center"/>
    </xf>
    <xf numFmtId="0" fontId="15" fillId="8" borderId="74" xfId="0" applyFont="1" applyFill="1" applyBorder="1" applyAlignment="1" applyProtection="1">
      <alignment horizontal="left" vertical="center"/>
    </xf>
    <xf numFmtId="181" fontId="5" fillId="8" borderId="30" xfId="0" applyNumberFormat="1" applyFont="1" applyFill="1" applyBorder="1" applyAlignment="1">
      <alignment horizontal="left" vertical="center"/>
    </xf>
    <xf numFmtId="180" fontId="5" fillId="8" borderId="30" xfId="0" applyNumberFormat="1" applyFont="1" applyFill="1" applyBorder="1" applyAlignment="1">
      <alignment horizontal="left" vertical="center"/>
    </xf>
    <xf numFmtId="0" fontId="5" fillId="8" borderId="30" xfId="0" applyFont="1" applyFill="1" applyBorder="1" applyAlignment="1">
      <alignment horizontal="left" vertical="center"/>
    </xf>
    <xf numFmtId="176" fontId="5" fillId="8" borderId="4" xfId="0" applyNumberFormat="1" applyFont="1" applyFill="1" applyBorder="1" applyAlignment="1">
      <alignment horizontal="left" vertical="center"/>
    </xf>
    <xf numFmtId="191" fontId="5" fillId="8" borderId="34" xfId="0" applyNumberFormat="1" applyFont="1" applyFill="1" applyBorder="1" applyAlignment="1">
      <alignment horizontal="left" vertical="center"/>
    </xf>
    <xf numFmtId="0" fontId="11" fillId="8" borderId="7" xfId="0" applyFont="1" applyFill="1" applyBorder="1" applyAlignment="1">
      <alignment horizontal="left" vertical="center"/>
    </xf>
    <xf numFmtId="0" fontId="11" fillId="8" borderId="4" xfId="0" applyFont="1" applyFill="1" applyBorder="1" applyAlignment="1">
      <alignment horizontal="left" vertical="center"/>
    </xf>
    <xf numFmtId="0" fontId="11" fillId="8" borderId="8" xfId="0" applyFont="1" applyFill="1" applyBorder="1" applyAlignment="1">
      <alignment horizontal="left" vertical="center"/>
    </xf>
    <xf numFmtId="164" fontId="11" fillId="8" borderId="4" xfId="0" applyNumberFormat="1" applyFont="1" applyFill="1" applyBorder="1" applyAlignment="1">
      <alignment horizontal="left" vertical="center"/>
    </xf>
    <xf numFmtId="176" fontId="11" fillId="8" borderId="4" xfId="0" applyNumberFormat="1" applyFont="1" applyFill="1" applyBorder="1" applyAlignment="1">
      <alignment horizontal="left" vertical="center"/>
    </xf>
    <xf numFmtId="166" fontId="11" fillId="8" borderId="4" xfId="0" applyNumberFormat="1" applyFont="1" applyFill="1" applyBorder="1" applyAlignment="1">
      <alignment horizontal="left" vertical="center"/>
    </xf>
    <xf numFmtId="179" fontId="11" fillId="8" borderId="8" xfId="0" applyNumberFormat="1" applyFont="1" applyFill="1" applyBorder="1" applyAlignment="1">
      <alignment horizontal="left" vertical="center"/>
    </xf>
    <xf numFmtId="0" fontId="5" fillId="3" borderId="11" xfId="0" applyFont="1" applyFill="1" applyBorder="1" applyAlignment="1">
      <alignment horizontal="left" vertical="center"/>
    </xf>
    <xf numFmtId="185" fontId="7" fillId="2" borderId="24" xfId="0" applyNumberFormat="1" applyFont="1" applyFill="1" applyBorder="1" applyAlignment="1" applyProtection="1">
      <alignment horizontal="center"/>
      <protection locked="0"/>
    </xf>
    <xf numFmtId="185" fontId="7" fillId="2" borderId="1" xfId="0" applyNumberFormat="1" applyFont="1" applyFill="1" applyBorder="1" applyAlignment="1" applyProtection="1">
      <alignment horizontal="center"/>
      <protection locked="0"/>
    </xf>
    <xf numFmtId="185" fontId="7" fillId="2" borderId="2" xfId="0" applyNumberFormat="1" applyFont="1" applyFill="1" applyBorder="1" applyAlignment="1" applyProtection="1">
      <alignment horizontal="center"/>
      <protection locked="0"/>
    </xf>
    <xf numFmtId="2" fontId="7" fillId="2" borderId="24" xfId="0" applyNumberFormat="1" applyFont="1" applyFill="1" applyBorder="1" applyAlignment="1" applyProtection="1">
      <alignment horizontal="center"/>
      <protection locked="0"/>
    </xf>
    <xf numFmtId="193" fontId="7" fillId="2" borderId="24" xfId="1" applyNumberFormat="1" applyFont="1" applyFill="1" applyBorder="1" applyAlignment="1" applyProtection="1">
      <alignment horizontal="center"/>
      <protection locked="0"/>
    </xf>
    <xf numFmtId="2" fontId="7" fillId="2" borderId="1" xfId="0" applyNumberFormat="1" applyFont="1" applyFill="1" applyBorder="1" applyAlignment="1" applyProtection="1">
      <alignment horizontal="center"/>
      <protection locked="0"/>
    </xf>
    <xf numFmtId="0" fontId="26" fillId="8" borderId="49" xfId="0" applyFont="1" applyFill="1" applyBorder="1"/>
    <xf numFmtId="0" fontId="11" fillId="8" borderId="15" xfId="0" applyFont="1" applyFill="1" applyBorder="1" applyAlignment="1">
      <alignment horizontal="center"/>
    </xf>
    <xf numFmtId="0" fontId="11" fillId="8" borderId="6" xfId="0" applyFont="1" applyFill="1" applyBorder="1" applyAlignment="1">
      <alignment horizontal="center"/>
    </xf>
    <xf numFmtId="0" fontId="11" fillId="8" borderId="4" xfId="0" applyFont="1" applyFill="1" applyBorder="1" applyAlignment="1">
      <alignment horizontal="center"/>
    </xf>
    <xf numFmtId="0" fontId="11" fillId="8" borderId="30" xfId="0" applyFont="1" applyFill="1" applyBorder="1" applyAlignment="1">
      <alignment horizontal="center"/>
    </xf>
    <xf numFmtId="185" fontId="7" fillId="3" borderId="24" xfId="0" applyNumberFormat="1" applyFont="1" applyFill="1" applyBorder="1" applyAlignment="1">
      <alignment horizontal="center"/>
    </xf>
    <xf numFmtId="166" fontId="7" fillId="3" borderId="31" xfId="0" applyNumberFormat="1" applyFont="1" applyFill="1" applyBorder="1" applyAlignment="1">
      <alignment horizontal="center"/>
    </xf>
    <xf numFmtId="188" fontId="7" fillId="3" borderId="61" xfId="0" applyNumberFormat="1" applyFont="1" applyFill="1" applyBorder="1" applyAlignment="1">
      <alignment horizontal="center"/>
    </xf>
    <xf numFmtId="188" fontId="7" fillId="3" borderId="45" xfId="0" applyNumberFormat="1" applyFont="1" applyFill="1" applyBorder="1" applyAlignment="1">
      <alignment horizontal="center"/>
    </xf>
    <xf numFmtId="166" fontId="7" fillId="3" borderId="32" xfId="0" applyNumberFormat="1" applyFont="1" applyFill="1" applyBorder="1" applyAlignment="1">
      <alignment horizontal="center"/>
    </xf>
    <xf numFmtId="2" fontId="7" fillId="5" borderId="1" xfId="0" applyNumberFormat="1" applyFont="1" applyFill="1" applyBorder="1" applyAlignment="1">
      <alignment horizontal="center"/>
    </xf>
    <xf numFmtId="10" fontId="7" fillId="5" borderId="1" xfId="1" applyNumberFormat="1" applyFont="1" applyFill="1" applyBorder="1" applyAlignment="1">
      <alignment horizontal="center"/>
    </xf>
    <xf numFmtId="0" fontId="7" fillId="5" borderId="1" xfId="0" applyFont="1" applyFill="1" applyBorder="1" applyAlignment="1">
      <alignment horizontal="center"/>
    </xf>
    <xf numFmtId="0" fontId="7" fillId="5" borderId="2" xfId="0" applyFont="1" applyFill="1" applyBorder="1" applyAlignment="1">
      <alignment horizontal="center"/>
    </xf>
    <xf numFmtId="0" fontId="7" fillId="5" borderId="31" xfId="0" applyFont="1" applyFill="1" applyBorder="1"/>
    <xf numFmtId="0" fontId="7" fillId="5" borderId="32" xfId="0" applyFont="1" applyFill="1" applyBorder="1"/>
    <xf numFmtId="0" fontId="8" fillId="5" borderId="32" xfId="0" applyFont="1" applyFill="1" applyBorder="1"/>
    <xf numFmtId="0" fontId="7" fillId="5" borderId="54" xfId="0" applyFont="1" applyFill="1" applyBorder="1"/>
    <xf numFmtId="0" fontId="7" fillId="3" borderId="24" xfId="0" applyFont="1" applyFill="1" applyBorder="1" applyAlignment="1">
      <alignment horizontal="center"/>
    </xf>
    <xf numFmtId="167" fontId="7" fillId="3" borderId="24" xfId="0" applyNumberFormat="1" applyFont="1" applyFill="1" applyBorder="1" applyAlignment="1">
      <alignment horizontal="center"/>
    </xf>
    <xf numFmtId="0" fontId="7" fillId="3" borderId="1" xfId="0" applyFont="1" applyFill="1" applyBorder="1" applyAlignment="1">
      <alignment horizontal="center"/>
    </xf>
    <xf numFmtId="2" fontId="8" fillId="3" borderId="1" xfId="0" applyNumberFormat="1" applyFont="1" applyFill="1" applyBorder="1" applyAlignment="1">
      <alignment horizontal="center"/>
    </xf>
    <xf numFmtId="0" fontId="1" fillId="8" borderId="62" xfId="0" applyFont="1" applyFill="1" applyBorder="1"/>
    <xf numFmtId="172" fontId="1" fillId="8" borderId="63" xfId="0" applyNumberFormat="1" applyFont="1" applyFill="1" applyBorder="1" applyAlignment="1">
      <alignment horizontal="center"/>
    </xf>
    <xf numFmtId="0" fontId="1" fillId="8" borderId="53" xfId="0" applyFont="1" applyFill="1" applyBorder="1" applyAlignment="1">
      <alignment horizontal="center"/>
    </xf>
    <xf numFmtId="167" fontId="1" fillId="8" borderId="63" xfId="0" applyNumberFormat="1" applyFont="1" applyFill="1" applyBorder="1" applyAlignment="1">
      <alignment horizontal="center"/>
    </xf>
    <xf numFmtId="168" fontId="1" fillId="8" borderId="63" xfId="0" applyNumberFormat="1" applyFont="1" applyFill="1" applyBorder="1" applyAlignment="1">
      <alignment horizontal="center"/>
    </xf>
    <xf numFmtId="10" fontId="1" fillId="8" borderId="63" xfId="1" applyNumberFormat="1" applyFont="1" applyFill="1" applyBorder="1" applyAlignment="1">
      <alignment horizontal="center"/>
    </xf>
    <xf numFmtId="169" fontId="1" fillId="8" borderId="63" xfId="0" applyNumberFormat="1" applyFont="1" applyFill="1" applyBorder="1" applyAlignment="1">
      <alignment horizontal="center"/>
    </xf>
    <xf numFmtId="170" fontId="1" fillId="8" borderId="62" xfId="0" applyNumberFormat="1" applyFont="1" applyFill="1" applyBorder="1" applyAlignment="1">
      <alignment horizontal="center"/>
    </xf>
    <xf numFmtId="171" fontId="1" fillId="8" borderId="64" xfId="0" applyNumberFormat="1" applyFont="1" applyFill="1" applyBorder="1" applyAlignment="1">
      <alignment horizontal="center"/>
    </xf>
    <xf numFmtId="0" fontId="11" fillId="8" borderId="23" xfId="0" applyFont="1" applyFill="1" applyBorder="1" applyAlignment="1">
      <alignment horizontal="center"/>
    </xf>
    <xf numFmtId="0" fontId="11" fillId="8" borderId="47" xfId="0" applyFont="1" applyFill="1" applyBorder="1" applyAlignment="1">
      <alignment horizontal="center"/>
    </xf>
    <xf numFmtId="0" fontId="23" fillId="7" borderId="19" xfId="0" applyFont="1" applyFill="1" applyBorder="1" applyAlignment="1">
      <alignment horizontal="right" vertical="center"/>
    </xf>
    <xf numFmtId="0" fontId="23" fillId="7" borderId="20" xfId="0" applyFont="1" applyFill="1" applyBorder="1" applyAlignment="1">
      <alignment horizontal="right" vertical="center"/>
    </xf>
    <xf numFmtId="0" fontId="11" fillId="8" borderId="4" xfId="0" applyFont="1" applyFill="1" applyBorder="1" applyAlignment="1">
      <alignment vertical="center"/>
    </xf>
    <xf numFmtId="0" fontId="11" fillId="8" borderId="23" xfId="0" applyFont="1" applyFill="1" applyBorder="1" applyAlignment="1">
      <alignment vertical="center"/>
    </xf>
    <xf numFmtId="0" fontId="11" fillId="8" borderId="6" xfId="0" applyFont="1" applyFill="1" applyBorder="1" applyAlignment="1">
      <alignment vertical="center"/>
    </xf>
    <xf numFmtId="0" fontId="11" fillId="8" borderId="6" xfId="0" applyFont="1" applyFill="1" applyBorder="1" applyAlignment="1" applyProtection="1">
      <alignment vertical="center"/>
    </xf>
    <xf numFmtId="0" fontId="11" fillId="8" borderId="47" xfId="0" applyFont="1" applyFill="1" applyBorder="1" applyAlignment="1">
      <alignment vertical="center"/>
    </xf>
    <xf numFmtId="0" fontId="11" fillId="8" borderId="34" xfId="0" applyFont="1" applyFill="1" applyBorder="1" applyAlignment="1" applyProtection="1">
      <alignment vertical="center"/>
    </xf>
    <xf numFmtId="0" fontId="1" fillId="8" borderId="34" xfId="0" applyFont="1" applyFill="1" applyBorder="1" applyAlignment="1">
      <alignment horizontal="left" vertical="center"/>
    </xf>
    <xf numFmtId="165" fontId="1" fillId="8" borderId="30" xfId="0" applyNumberFormat="1" applyFont="1" applyFill="1" applyBorder="1" applyAlignment="1">
      <alignment horizontal="left" vertical="center"/>
    </xf>
    <xf numFmtId="176" fontId="1" fillId="8" borderId="4" xfId="0" applyNumberFormat="1" applyFont="1" applyFill="1" applyBorder="1" applyAlignment="1">
      <alignment horizontal="left" vertical="center"/>
    </xf>
    <xf numFmtId="190" fontId="1" fillId="8" borderId="4" xfId="0" applyNumberFormat="1" applyFont="1" applyFill="1" applyBorder="1" applyAlignment="1">
      <alignment horizontal="left" vertical="center"/>
    </xf>
    <xf numFmtId="166" fontId="1" fillId="8" borderId="4" xfId="0" applyNumberFormat="1" applyFont="1" applyFill="1" applyBorder="1" applyAlignment="1" applyProtection="1">
      <alignment horizontal="left" vertical="center"/>
    </xf>
    <xf numFmtId="191" fontId="1" fillId="8" borderId="40" xfId="0" applyNumberFormat="1" applyFont="1" applyFill="1" applyBorder="1" applyAlignment="1">
      <alignment horizontal="left" vertical="center"/>
    </xf>
    <xf numFmtId="179" fontId="1" fillId="8" borderId="34" xfId="0" applyNumberFormat="1" applyFont="1" applyFill="1" applyBorder="1" applyAlignment="1" applyProtection="1">
      <alignment horizontal="left" vertical="center"/>
    </xf>
    <xf numFmtId="173" fontId="1" fillId="8" borderId="64" xfId="0" applyNumberFormat="1" applyFont="1" applyFill="1" applyBorder="1" applyAlignment="1">
      <alignment horizontal="center"/>
    </xf>
    <xf numFmtId="0" fontId="1" fillId="8" borderId="63" xfId="0" applyFont="1" applyFill="1" applyBorder="1" applyAlignment="1">
      <alignment horizontal="center"/>
    </xf>
    <xf numFmtId="167" fontId="1" fillId="8" borderId="62" xfId="0" applyNumberFormat="1" applyFont="1" applyFill="1" applyBorder="1" applyAlignment="1">
      <alignment horizontal="center"/>
    </xf>
    <xf numFmtId="2" fontId="7" fillId="3" borderId="24" xfId="0" applyNumberFormat="1" applyFont="1" applyFill="1" applyBorder="1" applyAlignment="1">
      <alignment horizontal="center"/>
    </xf>
    <xf numFmtId="167" fontId="7" fillId="3" borderId="31" xfId="0" applyNumberFormat="1" applyFont="1" applyFill="1" applyBorder="1" applyAlignment="1">
      <alignment horizontal="center"/>
    </xf>
    <xf numFmtId="2" fontId="7" fillId="3" borderId="1" xfId="0" applyNumberFormat="1" applyFont="1" applyFill="1" applyBorder="1" applyAlignment="1">
      <alignment horizontal="center"/>
    </xf>
    <xf numFmtId="2" fontId="7" fillId="3" borderId="3" xfId="0" applyNumberFormat="1" applyFont="1" applyFill="1" applyBorder="1" applyAlignment="1">
      <alignment horizontal="center"/>
    </xf>
    <xf numFmtId="2" fontId="7" fillId="3" borderId="5" xfId="0" applyNumberFormat="1" applyFont="1" applyFill="1" applyBorder="1" applyAlignment="1">
      <alignment horizontal="center"/>
    </xf>
    <xf numFmtId="185" fontId="7" fillId="3" borderId="1" xfId="0" applyNumberFormat="1" applyFont="1" applyFill="1" applyBorder="1" applyAlignment="1">
      <alignment horizontal="center"/>
    </xf>
    <xf numFmtId="0" fontId="7" fillId="5" borderId="65" xfId="0" applyFont="1" applyFill="1" applyBorder="1"/>
    <xf numFmtId="188" fontId="7" fillId="3" borderId="25" xfId="0" applyNumberFormat="1" applyFont="1" applyFill="1" applyBorder="1" applyAlignment="1">
      <alignment horizontal="center"/>
    </xf>
    <xf numFmtId="0" fontId="7" fillId="5" borderId="35" xfId="0" applyFont="1" applyFill="1" applyBorder="1"/>
    <xf numFmtId="0" fontId="7" fillId="5" borderId="36" xfId="0" applyFont="1" applyFill="1" applyBorder="1"/>
    <xf numFmtId="0" fontId="1" fillId="8" borderId="72" xfId="0" applyFont="1" applyFill="1" applyBorder="1"/>
    <xf numFmtId="171" fontId="1" fillId="8" borderId="74" xfId="0" applyNumberFormat="1" applyFont="1" applyFill="1" applyBorder="1" applyAlignment="1">
      <alignment horizontal="center"/>
    </xf>
    <xf numFmtId="0" fontId="7" fillId="5" borderId="33" xfId="0" applyFont="1" applyFill="1" applyBorder="1"/>
    <xf numFmtId="0" fontId="26" fillId="8" borderId="34" xfId="0" applyFont="1" applyFill="1" applyBorder="1"/>
    <xf numFmtId="0" fontId="11" fillId="8" borderId="7" xfId="0" applyFont="1" applyFill="1" applyBorder="1" applyAlignment="1">
      <alignment horizontal="center"/>
    </xf>
    <xf numFmtId="0" fontId="11" fillId="8" borderId="8" xfId="0" applyFont="1" applyFill="1" applyBorder="1" applyAlignment="1">
      <alignment horizontal="center"/>
    </xf>
    <xf numFmtId="0" fontId="27" fillId="5" borderId="20" xfId="0" applyFont="1" applyFill="1" applyBorder="1" applyAlignment="1" applyProtection="1">
      <alignment vertical="center"/>
      <protection locked="0"/>
    </xf>
    <xf numFmtId="0" fontId="1" fillId="8" borderId="15" xfId="0" applyFont="1" applyFill="1" applyBorder="1"/>
    <xf numFmtId="173" fontId="1" fillId="8" borderId="40" xfId="0" applyNumberFormat="1" applyFont="1" applyFill="1" applyBorder="1" applyAlignment="1">
      <alignment horizontal="center"/>
    </xf>
    <xf numFmtId="0" fontId="1" fillId="8" borderId="4" xfId="0" applyFont="1" applyFill="1" applyBorder="1" applyAlignment="1">
      <alignment horizontal="center"/>
    </xf>
    <xf numFmtId="167" fontId="1" fillId="8" borderId="30" xfId="0" applyNumberFormat="1" applyFont="1" applyFill="1" applyBorder="1" applyAlignment="1">
      <alignment horizontal="center"/>
    </xf>
    <xf numFmtId="169" fontId="1" fillId="8" borderId="4" xfId="0" applyNumberFormat="1" applyFont="1" applyFill="1" applyBorder="1" applyAlignment="1">
      <alignment horizontal="center"/>
    </xf>
    <xf numFmtId="170" fontId="1" fillId="8" borderId="30" xfId="0" applyNumberFormat="1" applyFont="1" applyFill="1" applyBorder="1" applyAlignment="1">
      <alignment horizontal="center"/>
    </xf>
    <xf numFmtId="171" fontId="1" fillId="8" borderId="8" xfId="0" applyNumberFormat="1" applyFont="1" applyFill="1" applyBorder="1" applyAlignment="1">
      <alignment horizontal="center"/>
    </xf>
    <xf numFmtId="166" fontId="7" fillId="3" borderId="53" xfId="0" applyNumberFormat="1" applyFont="1" applyFill="1" applyBorder="1" applyAlignment="1">
      <alignment horizontal="left"/>
    </xf>
    <xf numFmtId="166" fontId="7" fillId="3" borderId="24" xfId="0" applyNumberFormat="1" applyFont="1" applyFill="1" applyBorder="1" applyAlignment="1">
      <alignment horizontal="left"/>
    </xf>
    <xf numFmtId="179" fontId="7" fillId="3" borderId="43" xfId="0" applyNumberFormat="1" applyFont="1" applyFill="1" applyBorder="1" applyAlignment="1">
      <alignment horizontal="left"/>
    </xf>
    <xf numFmtId="166" fontId="7" fillId="3" borderId="1" xfId="0" applyNumberFormat="1" applyFont="1" applyFill="1" applyBorder="1" applyAlignment="1">
      <alignment horizontal="left"/>
    </xf>
    <xf numFmtId="172" fontId="7" fillId="2" borderId="37" xfId="0" applyNumberFormat="1" applyFont="1" applyFill="1" applyBorder="1" applyAlignment="1" applyProtection="1">
      <alignment horizontal="center"/>
      <protection locked="0"/>
    </xf>
    <xf numFmtId="172" fontId="7" fillId="2" borderId="38" xfId="0" applyNumberFormat="1" applyFont="1" applyFill="1" applyBorder="1" applyAlignment="1" applyProtection="1">
      <alignment horizontal="center"/>
      <protection locked="0"/>
    </xf>
    <xf numFmtId="172" fontId="7" fillId="2" borderId="39" xfId="0" applyNumberFormat="1" applyFont="1" applyFill="1" applyBorder="1" applyAlignment="1" applyProtection="1">
      <alignment horizontal="center"/>
      <protection locked="0"/>
    </xf>
    <xf numFmtId="0" fontId="1" fillId="8" borderId="7" xfId="0" applyFont="1" applyFill="1" applyBorder="1"/>
    <xf numFmtId="172" fontId="1" fillId="8" borderId="4" xfId="0" applyNumberFormat="1" applyFont="1" applyFill="1" applyBorder="1" applyAlignment="1">
      <alignment horizontal="center"/>
    </xf>
    <xf numFmtId="167" fontId="1" fillId="8" borderId="8" xfId="0" applyNumberFormat="1" applyFont="1" applyFill="1" applyBorder="1" applyAlignment="1">
      <alignment horizontal="center"/>
    </xf>
    <xf numFmtId="0" fontId="26" fillId="8" borderId="7" xfId="0" applyFont="1" applyFill="1" applyBorder="1"/>
    <xf numFmtId="0" fontId="26" fillId="8" borderId="4" xfId="0" applyFont="1" applyFill="1" applyBorder="1" applyAlignment="1">
      <alignment horizontal="center"/>
    </xf>
    <xf numFmtId="0" fontId="26" fillId="8" borderId="8" xfId="0" applyFont="1" applyFill="1" applyBorder="1" applyAlignment="1">
      <alignment horizontal="center"/>
    </xf>
    <xf numFmtId="2" fontId="7" fillId="3" borderId="61" xfId="0" applyNumberFormat="1" applyFont="1" applyFill="1" applyBorder="1" applyAlignment="1">
      <alignment horizontal="center"/>
    </xf>
    <xf numFmtId="0" fontId="7" fillId="3" borderId="2" xfId="0" applyFont="1" applyFill="1" applyBorder="1" applyAlignment="1">
      <alignment horizontal="center"/>
    </xf>
    <xf numFmtId="189" fontId="1" fillId="3" borderId="34" xfId="0" applyNumberFormat="1" applyFont="1" applyFill="1" applyBorder="1" applyAlignment="1">
      <alignment horizontal="center"/>
    </xf>
    <xf numFmtId="0" fontId="28" fillId="0" borderId="0" xfId="0" applyFont="1"/>
    <xf numFmtId="0" fontId="10" fillId="8" borderId="23" xfId="0" applyFont="1" applyFill="1" applyBorder="1" applyAlignment="1">
      <alignment horizontal="center"/>
    </xf>
    <xf numFmtId="0" fontId="10" fillId="8" borderId="53" xfId="0" applyFont="1" applyFill="1" applyBorder="1" applyAlignment="1">
      <alignment horizontal="center"/>
    </xf>
    <xf numFmtId="0" fontId="10" fillId="8" borderId="6" xfId="0" applyFont="1" applyFill="1" applyBorder="1" applyAlignment="1">
      <alignment horizontal="center"/>
    </xf>
    <xf numFmtId="0" fontId="10" fillId="8" borderId="6" xfId="0" applyFont="1" applyFill="1" applyBorder="1" applyAlignment="1" applyProtection="1">
      <alignment horizontal="center"/>
    </xf>
    <xf numFmtId="0" fontId="10" fillId="8" borderId="47" xfId="0" applyFont="1" applyFill="1" applyBorder="1" applyAlignment="1" applyProtection="1">
      <alignment horizontal="center"/>
    </xf>
    <xf numFmtId="0" fontId="10" fillId="8" borderId="47" xfId="0" applyFont="1" applyFill="1" applyBorder="1" applyAlignment="1">
      <alignment horizontal="center"/>
    </xf>
    <xf numFmtId="0" fontId="10" fillId="8" borderId="34" xfId="0" applyFont="1" applyFill="1" applyBorder="1" applyAlignment="1" applyProtection="1">
      <alignment horizontal="center"/>
    </xf>
    <xf numFmtId="0" fontId="4" fillId="8" borderId="34" xfId="0" applyFont="1" applyFill="1" applyBorder="1" applyAlignment="1">
      <alignment horizontal="center"/>
    </xf>
    <xf numFmtId="165" fontId="4" fillId="8" borderId="30" xfId="0" applyNumberFormat="1" applyFont="1" applyFill="1" applyBorder="1" applyAlignment="1">
      <alignment horizontal="center"/>
    </xf>
    <xf numFmtId="176" fontId="4" fillId="8" borderId="4" xfId="0" applyNumberFormat="1" applyFont="1" applyFill="1" applyBorder="1" applyAlignment="1">
      <alignment horizontal="center"/>
    </xf>
    <xf numFmtId="177" fontId="4" fillId="8" borderId="4" xfId="0" applyNumberFormat="1" applyFont="1" applyFill="1" applyBorder="1" applyAlignment="1">
      <alignment horizontal="center"/>
    </xf>
    <xf numFmtId="166" fontId="4" fillId="8" borderId="4" xfId="0" applyNumberFormat="1" applyFont="1" applyFill="1" applyBorder="1" applyAlignment="1" applyProtection="1">
      <alignment horizontal="center"/>
    </xf>
    <xf numFmtId="179" fontId="4" fillId="8" borderId="4" xfId="0" applyNumberFormat="1" applyFont="1" applyFill="1" applyBorder="1" applyAlignment="1">
      <alignment horizontal="center"/>
    </xf>
    <xf numFmtId="179" fontId="4" fillId="8" borderId="4" xfId="0" applyNumberFormat="1" applyFont="1" applyFill="1" applyBorder="1" applyAlignment="1" applyProtection="1">
      <alignment horizontal="center"/>
    </xf>
    <xf numFmtId="0" fontId="4" fillId="8" borderId="8" xfId="0" applyNumberFormat="1" applyFont="1" applyFill="1" applyBorder="1" applyAlignment="1">
      <alignment horizontal="center"/>
    </xf>
    <xf numFmtId="175" fontId="4" fillId="8" borderId="34" xfId="0" applyNumberFormat="1" applyFont="1" applyFill="1" applyBorder="1" applyAlignment="1" applyProtection="1">
      <alignment horizontal="center"/>
    </xf>
    <xf numFmtId="0" fontId="10" fillId="8" borderId="51" xfId="0" applyFont="1" applyFill="1" applyBorder="1" applyAlignment="1">
      <alignment horizontal="center"/>
    </xf>
    <xf numFmtId="0" fontId="10" fillId="8" borderId="34" xfId="0" applyFont="1" applyFill="1" applyBorder="1" applyAlignment="1">
      <alignment horizontal="center"/>
    </xf>
    <xf numFmtId="0" fontId="10" fillId="8" borderId="23" xfId="0" applyFont="1" applyFill="1" applyBorder="1" applyAlignment="1" applyProtection="1">
      <alignment horizontal="center"/>
    </xf>
    <xf numFmtId="178" fontId="4" fillId="8" borderId="4" xfId="0" applyNumberFormat="1" applyFont="1" applyFill="1" applyBorder="1" applyAlignment="1">
      <alignment horizontal="center"/>
    </xf>
    <xf numFmtId="174" fontId="4" fillId="8" borderId="8" xfId="0" applyNumberFormat="1" applyFont="1" applyFill="1" applyBorder="1" applyAlignment="1">
      <alignment horizontal="center"/>
    </xf>
    <xf numFmtId="0" fontId="10" fillId="8" borderId="27" xfId="0" applyFont="1" applyFill="1" applyBorder="1" applyAlignment="1">
      <alignment horizontal="center"/>
    </xf>
    <xf numFmtId="0" fontId="10" fillId="8" borderId="23" xfId="0" applyFont="1" applyFill="1" applyBorder="1" applyAlignment="1">
      <alignment horizontal="center" vertical="center" wrapText="1"/>
    </xf>
    <xf numFmtId="0" fontId="10" fillId="8" borderId="6" xfId="0" applyFont="1" applyFill="1" applyBorder="1" applyAlignment="1">
      <alignment horizontal="center" vertical="center" wrapText="1"/>
    </xf>
    <xf numFmtId="0" fontId="10" fillId="8" borderId="6" xfId="0" applyFont="1" applyFill="1" applyBorder="1" applyAlignment="1" applyProtection="1">
      <alignment horizontal="center" vertical="center" wrapText="1"/>
    </xf>
    <xf numFmtId="0" fontId="10" fillId="8" borderId="47" xfId="0" applyFont="1" applyFill="1" applyBorder="1" applyAlignment="1" applyProtection="1">
      <alignment horizontal="center" vertical="center" wrapText="1"/>
    </xf>
    <xf numFmtId="0" fontId="10" fillId="8" borderId="47" xfId="0" applyFont="1" applyFill="1" applyBorder="1" applyAlignment="1">
      <alignment horizontal="center" vertical="center" wrapText="1"/>
    </xf>
    <xf numFmtId="0" fontId="10" fillId="8" borderId="34" xfId="0" applyFont="1" applyFill="1" applyBorder="1" applyAlignment="1" applyProtection="1">
      <alignment horizontal="center" vertical="center" wrapText="1"/>
    </xf>
    <xf numFmtId="0" fontId="7" fillId="2" borderId="33" xfId="0" applyFont="1" applyFill="1" applyBorder="1" applyProtection="1">
      <protection locked="0"/>
    </xf>
    <xf numFmtId="165" fontId="7" fillId="2" borderId="41" xfId="0" applyNumberFormat="1" applyFont="1" applyFill="1" applyBorder="1" applyAlignment="1" applyProtection="1">
      <alignment horizontal="center"/>
      <protection locked="0"/>
    </xf>
    <xf numFmtId="10" fontId="7" fillId="2" borderId="41" xfId="1" applyNumberFormat="1" applyFont="1" applyFill="1" applyBorder="1" applyAlignment="1" applyProtection="1">
      <alignment horizontal="center"/>
      <protection locked="0"/>
    </xf>
    <xf numFmtId="0" fontId="7" fillId="2" borderId="35" xfId="0" applyFont="1" applyFill="1" applyBorder="1" applyProtection="1">
      <protection locked="0"/>
    </xf>
    <xf numFmtId="165" fontId="7" fillId="2" borderId="32" xfId="0" applyNumberFormat="1" applyFont="1" applyFill="1" applyBorder="1" applyAlignment="1" applyProtection="1">
      <alignment horizontal="center"/>
      <protection locked="0"/>
    </xf>
    <xf numFmtId="10" fontId="7" fillId="2" borderId="32" xfId="1" applyNumberFormat="1" applyFont="1" applyFill="1" applyBorder="1" applyAlignment="1" applyProtection="1">
      <alignment horizontal="center"/>
      <protection locked="0"/>
    </xf>
    <xf numFmtId="0" fontId="7" fillId="2" borderId="67" xfId="0" applyFont="1" applyFill="1" applyBorder="1" applyProtection="1">
      <protection locked="0"/>
    </xf>
    <xf numFmtId="165" fontId="7" fillId="2" borderId="54" xfId="0" applyNumberFormat="1" applyFont="1" applyFill="1" applyBorder="1" applyAlignment="1" applyProtection="1">
      <alignment horizontal="center"/>
      <protection locked="0"/>
    </xf>
    <xf numFmtId="10" fontId="7" fillId="2" borderId="54" xfId="1" applyNumberFormat="1" applyFont="1" applyFill="1" applyBorder="1" applyAlignment="1" applyProtection="1">
      <alignment horizontal="center"/>
      <protection locked="0"/>
    </xf>
    <xf numFmtId="178" fontId="7" fillId="2" borderId="5" xfId="0" applyNumberFormat="1" applyFont="1" applyFill="1" applyBorder="1" applyAlignment="1" applyProtection="1">
      <alignment horizontal="center"/>
      <protection locked="0"/>
    </xf>
    <xf numFmtId="178" fontId="7" fillId="2" borderId="1" xfId="0" applyNumberFormat="1" applyFont="1" applyFill="1" applyBorder="1" applyAlignment="1" applyProtection="1">
      <alignment horizontal="center"/>
      <protection locked="0"/>
    </xf>
    <xf numFmtId="178" fontId="7" fillId="2" borderId="2" xfId="0" applyNumberFormat="1" applyFont="1" applyFill="1" applyBorder="1" applyAlignment="1" applyProtection="1">
      <alignment horizontal="center"/>
      <protection locked="0"/>
    </xf>
    <xf numFmtId="175" fontId="7" fillId="2" borderId="44" xfId="0" applyNumberFormat="1" applyFont="1" applyFill="1" applyBorder="1" applyAlignment="1" applyProtection="1">
      <alignment horizontal="center"/>
      <protection locked="0"/>
    </xf>
    <xf numFmtId="175" fontId="7" fillId="2" borderId="45" xfId="0" applyNumberFormat="1" applyFont="1" applyFill="1" applyBorder="1" applyAlignment="1" applyProtection="1">
      <alignment horizontal="center"/>
      <protection locked="0"/>
    </xf>
    <xf numFmtId="175" fontId="7" fillId="2" borderId="68" xfId="0" applyNumberFormat="1" applyFont="1" applyFill="1" applyBorder="1" applyAlignment="1" applyProtection="1">
      <alignment horizontal="center"/>
      <protection locked="0"/>
    </xf>
    <xf numFmtId="10" fontId="7" fillId="2" borderId="1" xfId="1" applyNumberFormat="1" applyFont="1" applyFill="1" applyBorder="1" applyAlignment="1" applyProtection="1">
      <alignment horizontal="center"/>
      <protection locked="0"/>
    </xf>
    <xf numFmtId="165" fontId="7" fillId="2" borderId="24" xfId="0" applyNumberFormat="1" applyFont="1" applyFill="1" applyBorder="1" applyAlignment="1" applyProtection="1">
      <alignment horizontal="center"/>
      <protection locked="0"/>
    </xf>
    <xf numFmtId="165" fontId="7" fillId="2" borderId="1" xfId="0" applyNumberFormat="1" applyFont="1" applyFill="1" applyBorder="1" applyAlignment="1" applyProtection="1">
      <alignment horizontal="center"/>
      <protection locked="0"/>
    </xf>
    <xf numFmtId="10" fontId="7" fillId="2" borderId="31" xfId="1" applyNumberFormat="1" applyFont="1" applyFill="1" applyBorder="1" applyAlignment="1" applyProtection="1">
      <alignment horizontal="center"/>
      <protection locked="0"/>
    </xf>
    <xf numFmtId="165" fontId="7" fillId="2" borderId="2" xfId="0" applyNumberFormat="1" applyFont="1" applyFill="1" applyBorder="1" applyAlignment="1" applyProtection="1">
      <alignment horizontal="center"/>
      <protection locked="0"/>
    </xf>
    <xf numFmtId="178" fontId="7" fillId="2" borderId="63" xfId="0" applyNumberFormat="1" applyFont="1" applyFill="1" applyBorder="1" applyAlignment="1" applyProtection="1">
      <alignment horizontal="center"/>
      <protection locked="0"/>
    </xf>
    <xf numFmtId="178" fontId="7" fillId="2" borderId="53" xfId="0" applyNumberFormat="1" applyFont="1" applyFill="1" applyBorder="1" applyAlignment="1" applyProtection="1">
      <alignment horizontal="center"/>
      <protection locked="0"/>
    </xf>
    <xf numFmtId="175" fontId="7" fillId="2" borderId="64" xfId="0" applyNumberFormat="1" applyFont="1" applyFill="1" applyBorder="1" applyAlignment="1" applyProtection="1">
      <alignment horizontal="center"/>
      <protection locked="0"/>
    </xf>
    <xf numFmtId="175" fontId="7" fillId="2" borderId="48" xfId="0" applyNumberFormat="1" applyFont="1" applyFill="1" applyBorder="1" applyAlignment="1" applyProtection="1">
      <alignment horizontal="center"/>
      <protection locked="0"/>
    </xf>
    <xf numFmtId="0" fontId="8" fillId="2" borderId="33" xfId="0" applyFont="1" applyFill="1" applyBorder="1" applyProtection="1">
      <protection locked="0"/>
    </xf>
    <xf numFmtId="0" fontId="8" fillId="2" borderId="35" xfId="0" applyFont="1" applyFill="1" applyBorder="1" applyProtection="1">
      <protection locked="0"/>
    </xf>
    <xf numFmtId="0" fontId="8" fillId="2" borderId="67" xfId="0" applyFont="1" applyFill="1" applyBorder="1" applyProtection="1">
      <protection locked="0"/>
    </xf>
    <xf numFmtId="165" fontId="7" fillId="3" borderId="1" xfId="0" applyNumberFormat="1" applyFont="1" applyFill="1" applyBorder="1" applyAlignment="1">
      <alignment horizontal="center"/>
    </xf>
    <xf numFmtId="166" fontId="7" fillId="3" borderId="63" xfId="0" applyNumberFormat="1" applyFont="1" applyFill="1" applyBorder="1" applyAlignment="1" applyProtection="1">
      <alignment horizontal="center"/>
    </xf>
    <xf numFmtId="179" fontId="7" fillId="3" borderId="64" xfId="0" applyNumberFormat="1" applyFont="1" applyFill="1" applyBorder="1" applyAlignment="1" applyProtection="1">
      <alignment horizontal="center"/>
    </xf>
    <xf numFmtId="179" fontId="7" fillId="3" borderId="1" xfId="0" applyNumberFormat="1" applyFont="1" applyFill="1" applyBorder="1" applyAlignment="1" applyProtection="1">
      <alignment horizontal="center"/>
    </xf>
    <xf numFmtId="179" fontId="7" fillId="3" borderId="61" xfId="0" applyNumberFormat="1" applyFont="1" applyFill="1" applyBorder="1" applyAlignment="1" applyProtection="1">
      <alignment horizontal="center"/>
    </xf>
    <xf numFmtId="0" fontId="7" fillId="3" borderId="33" xfId="0" applyFont="1" applyFill="1" applyBorder="1"/>
    <xf numFmtId="0" fontId="7" fillId="3" borderId="35" xfId="0" applyFont="1" applyFill="1" applyBorder="1"/>
    <xf numFmtId="0" fontId="7" fillId="3" borderId="67" xfId="0" applyFont="1" applyFill="1" applyBorder="1"/>
    <xf numFmtId="165" fontId="7" fillId="3" borderId="24" xfId="0" applyNumberFormat="1" applyFont="1" applyFill="1" applyBorder="1" applyAlignment="1">
      <alignment horizontal="center"/>
    </xf>
    <xf numFmtId="165" fontId="7" fillId="3" borderId="63" xfId="0" applyNumberFormat="1" applyFont="1" applyFill="1" applyBorder="1" applyAlignment="1">
      <alignment horizontal="center"/>
    </xf>
    <xf numFmtId="165" fontId="7" fillId="3" borderId="53" xfId="0" applyNumberFormat="1" applyFont="1" applyFill="1" applyBorder="1" applyAlignment="1">
      <alignment horizontal="center"/>
    </xf>
    <xf numFmtId="179" fontId="7" fillId="3" borderId="48" xfId="0" applyNumberFormat="1" applyFont="1" applyFill="1" applyBorder="1" applyAlignment="1" applyProtection="1">
      <alignment horizontal="center"/>
    </xf>
    <xf numFmtId="175" fontId="7" fillId="3" borderId="25" xfId="0" applyNumberFormat="1" applyFont="1" applyFill="1" applyBorder="1" applyAlignment="1" applyProtection="1">
      <alignment horizontal="center"/>
    </xf>
    <xf numFmtId="0" fontId="0" fillId="0" borderId="0" xfId="0" applyBorder="1" applyProtection="1"/>
    <xf numFmtId="0" fontId="8" fillId="2" borderId="56" xfId="0" applyFont="1" applyFill="1" applyBorder="1" applyProtection="1">
      <protection locked="0"/>
    </xf>
    <xf numFmtId="0" fontId="8" fillId="2" borderId="69" xfId="0" applyFont="1" applyFill="1" applyBorder="1" applyProtection="1">
      <protection locked="0"/>
    </xf>
    <xf numFmtId="0" fontId="8" fillId="2" borderId="42" xfId="0" applyFont="1" applyFill="1" applyBorder="1" applyProtection="1">
      <protection locked="0"/>
    </xf>
    <xf numFmtId="0" fontId="8" fillId="2" borderId="66" xfId="0" applyFont="1" applyFill="1" applyBorder="1" applyProtection="1">
      <protection locked="0"/>
    </xf>
    <xf numFmtId="165" fontId="7" fillId="3" borderId="41" xfId="0" applyNumberFormat="1" applyFont="1" applyFill="1" applyBorder="1" applyAlignment="1">
      <alignment horizontal="center"/>
    </xf>
    <xf numFmtId="166" fontId="7" fillId="3" borderId="5" xfId="0" applyNumberFormat="1" applyFont="1" applyFill="1" applyBorder="1" applyAlignment="1">
      <alignment horizontal="center"/>
    </xf>
    <xf numFmtId="179" fontId="7" fillId="3" borderId="5" xfId="0" applyNumberFormat="1" applyFont="1" applyFill="1" applyBorder="1" applyAlignment="1">
      <alignment horizontal="center"/>
    </xf>
    <xf numFmtId="175" fontId="7" fillId="3" borderId="10" xfId="0" applyNumberFormat="1" applyFont="1" applyFill="1" applyBorder="1" applyAlignment="1">
      <alignment horizontal="center"/>
    </xf>
    <xf numFmtId="165" fontId="7" fillId="3" borderId="32" xfId="0" applyNumberFormat="1" applyFont="1" applyFill="1" applyBorder="1" applyAlignment="1">
      <alignment horizontal="center"/>
    </xf>
    <xf numFmtId="166" fontId="7" fillId="3" borderId="1" xfId="0" applyNumberFormat="1" applyFont="1" applyFill="1" applyBorder="1" applyAlignment="1">
      <alignment horizontal="center"/>
    </xf>
    <xf numFmtId="179" fontId="7" fillId="3" borderId="1" xfId="0" applyNumberFormat="1" applyFont="1" applyFill="1" applyBorder="1" applyAlignment="1">
      <alignment horizontal="center"/>
    </xf>
    <xf numFmtId="175" fontId="7" fillId="3" borderId="12" xfId="0" applyNumberFormat="1" applyFont="1" applyFill="1" applyBorder="1" applyAlignment="1">
      <alignment horizontal="center"/>
    </xf>
    <xf numFmtId="165" fontId="7" fillId="3" borderId="23" xfId="0" applyNumberFormat="1" applyFont="1" applyFill="1" applyBorder="1" applyAlignment="1">
      <alignment horizontal="center"/>
    </xf>
    <xf numFmtId="165" fontId="7" fillId="3" borderId="3" xfId="0" applyNumberFormat="1" applyFont="1" applyFill="1" applyBorder="1" applyAlignment="1">
      <alignment horizontal="center"/>
    </xf>
    <xf numFmtId="166" fontId="7" fillId="3" borderId="6" xfId="0" applyNumberFormat="1" applyFont="1" applyFill="1" applyBorder="1" applyAlignment="1">
      <alignment horizontal="center"/>
    </xf>
    <xf numFmtId="179" fontId="7" fillId="3" borderId="6" xfId="0" applyNumberFormat="1" applyFont="1" applyFill="1" applyBorder="1" applyAlignment="1">
      <alignment horizontal="center"/>
    </xf>
    <xf numFmtId="175" fontId="7" fillId="3" borderId="16" xfId="0" applyNumberFormat="1" applyFont="1" applyFill="1" applyBorder="1" applyAlignment="1">
      <alignment horizontal="center"/>
    </xf>
    <xf numFmtId="0" fontId="1" fillId="8" borderId="59" xfId="0" applyFont="1" applyFill="1" applyBorder="1" applyAlignment="1">
      <alignment horizontal="center"/>
    </xf>
    <xf numFmtId="165" fontId="1" fillId="8" borderId="50" xfId="0" applyNumberFormat="1" applyFont="1" applyFill="1" applyBorder="1" applyAlignment="1">
      <alignment horizontal="center"/>
    </xf>
    <xf numFmtId="176" fontId="1" fillId="8" borderId="53" xfId="0" applyNumberFormat="1" applyFont="1" applyFill="1" applyBorder="1" applyAlignment="1">
      <alignment horizontal="center"/>
    </xf>
    <xf numFmtId="166" fontId="1" fillId="8" borderId="53" xfId="0" applyNumberFormat="1" applyFont="1" applyFill="1" applyBorder="1" applyAlignment="1">
      <alignment horizontal="center"/>
    </xf>
    <xf numFmtId="179" fontId="1" fillId="8" borderId="53" xfId="0" applyNumberFormat="1" applyFont="1" applyFill="1" applyBorder="1" applyAlignment="1">
      <alignment horizontal="center"/>
    </xf>
    <xf numFmtId="175" fontId="1" fillId="8" borderId="48" xfId="0" applyNumberFormat="1" applyFont="1" applyFill="1" applyBorder="1" applyAlignment="1">
      <alignment horizontal="center"/>
    </xf>
    <xf numFmtId="0" fontId="11" fillId="8" borderId="49" xfId="0" applyFont="1" applyFill="1" applyBorder="1" applyAlignment="1">
      <alignment horizontal="center"/>
    </xf>
    <xf numFmtId="175" fontId="5" fillId="8" borderId="4" xfId="0" applyNumberFormat="1" applyFont="1" applyFill="1" applyBorder="1" applyAlignment="1">
      <alignment horizontal="center"/>
    </xf>
    <xf numFmtId="182" fontId="5" fillId="8" borderId="4" xfId="0" applyNumberFormat="1" applyFont="1" applyFill="1" applyBorder="1" applyAlignment="1">
      <alignment horizontal="center"/>
    </xf>
    <xf numFmtId="174" fontId="5" fillId="8" borderId="4" xfId="0" applyNumberFormat="1" applyFont="1" applyFill="1" applyBorder="1" applyAlignment="1">
      <alignment horizontal="center"/>
    </xf>
    <xf numFmtId="183" fontId="5" fillId="8" borderId="8" xfId="0" applyNumberFormat="1" applyFont="1" applyFill="1" applyBorder="1" applyAlignment="1">
      <alignment horizontal="center"/>
    </xf>
    <xf numFmtId="0" fontId="7" fillId="3" borderId="41" xfId="0" applyFont="1" applyFill="1" applyBorder="1"/>
    <xf numFmtId="0" fontId="7" fillId="3" borderId="32" xfId="0" applyFont="1" applyFill="1" applyBorder="1"/>
    <xf numFmtId="0" fontId="7" fillId="3" borderId="54" xfId="0" applyFont="1" applyFill="1" applyBorder="1"/>
    <xf numFmtId="0" fontId="7" fillId="3" borderId="1" xfId="0" applyFont="1" applyFill="1" applyBorder="1"/>
    <xf numFmtId="0" fontId="7" fillId="3" borderId="50" xfId="0" applyFont="1" applyFill="1" applyBorder="1"/>
    <xf numFmtId="175" fontId="7" fillId="3" borderId="5" xfId="0" applyNumberFormat="1" applyFont="1" applyFill="1" applyBorder="1" applyAlignment="1">
      <alignment horizontal="center"/>
    </xf>
    <xf numFmtId="175" fontId="7" fillId="3" borderId="44" xfId="0" applyNumberFormat="1" applyFont="1" applyFill="1" applyBorder="1" applyAlignment="1">
      <alignment horizontal="center"/>
    </xf>
    <xf numFmtId="175" fontId="7" fillId="3" borderId="1" xfId="0" applyNumberFormat="1" applyFont="1" applyFill="1" applyBorder="1" applyAlignment="1">
      <alignment horizontal="center"/>
    </xf>
    <xf numFmtId="175" fontId="7" fillId="3" borderId="45" xfId="0" applyNumberFormat="1" applyFont="1" applyFill="1" applyBorder="1" applyAlignment="1">
      <alignment horizontal="center"/>
    </xf>
    <xf numFmtId="175" fontId="7" fillId="3" borderId="2" xfId="0" applyNumberFormat="1" applyFont="1" applyFill="1" applyBorder="1" applyAlignment="1">
      <alignment horizontal="center"/>
    </xf>
    <xf numFmtId="175" fontId="7" fillId="3" borderId="68" xfId="0" applyNumberFormat="1" applyFont="1" applyFill="1" applyBorder="1" applyAlignment="1">
      <alignment horizontal="center"/>
    </xf>
    <xf numFmtId="167" fontId="15" fillId="3" borderId="12" xfId="0" applyNumberFormat="1" applyFont="1" applyFill="1" applyBorder="1" applyAlignment="1">
      <alignment horizontal="center"/>
    </xf>
    <xf numFmtId="167" fontId="15" fillId="3" borderId="14" xfId="0" applyNumberFormat="1" applyFont="1" applyFill="1" applyBorder="1" applyAlignment="1">
      <alignment horizontal="center"/>
    </xf>
    <xf numFmtId="175" fontId="7" fillId="2" borderId="5" xfId="0" applyNumberFormat="1" applyFont="1" applyFill="1" applyBorder="1" applyAlignment="1" applyProtection="1">
      <alignment horizontal="center"/>
      <protection locked="0"/>
    </xf>
    <xf numFmtId="175" fontId="7" fillId="2" borderId="1" xfId="0" applyNumberFormat="1" applyFont="1" applyFill="1" applyBorder="1" applyAlignment="1" applyProtection="1">
      <alignment horizontal="center"/>
      <protection locked="0"/>
    </xf>
    <xf numFmtId="175" fontId="7" fillId="2" borderId="2" xfId="0" applyNumberFormat="1" applyFont="1" applyFill="1" applyBorder="1" applyAlignment="1" applyProtection="1">
      <alignment horizontal="center"/>
      <protection locked="0"/>
    </xf>
    <xf numFmtId="175" fontId="7" fillId="2" borderId="53" xfId="0" applyNumberFormat="1" applyFont="1" applyFill="1" applyBorder="1" applyAlignment="1" applyProtection="1">
      <alignment horizontal="center"/>
      <protection locked="0"/>
    </xf>
    <xf numFmtId="192" fontId="15" fillId="2" borderId="10" xfId="0" applyNumberFormat="1" applyFont="1" applyFill="1" applyBorder="1" applyAlignment="1" applyProtection="1">
      <alignment horizontal="center"/>
      <protection locked="0"/>
    </xf>
    <xf numFmtId="187" fontId="1" fillId="3" borderId="10" xfId="0" applyNumberFormat="1" applyFont="1" applyFill="1" applyBorder="1" applyAlignment="1">
      <alignment horizontal="center"/>
    </xf>
    <xf numFmtId="175" fontId="1" fillId="3" borderId="14" xfId="0" applyNumberFormat="1" applyFont="1" applyFill="1" applyBorder="1" applyAlignment="1">
      <alignment horizontal="center"/>
    </xf>
    <xf numFmtId="0" fontId="15" fillId="5" borderId="9" xfId="0" applyFont="1" applyFill="1" applyBorder="1" applyAlignment="1">
      <alignment horizontal="left"/>
    </xf>
    <xf numFmtId="0" fontId="15" fillId="5" borderId="13" xfId="0" applyFont="1" applyFill="1" applyBorder="1"/>
    <xf numFmtId="0" fontId="0" fillId="0" borderId="26" xfId="0" applyBorder="1" applyAlignment="1">
      <alignment horizontal="left" vertical="center"/>
    </xf>
    <xf numFmtId="166" fontId="7" fillId="3" borderId="1" xfId="0" applyNumberFormat="1" applyFont="1" applyFill="1" applyBorder="1" applyAlignment="1">
      <alignment horizontal="left" vertical="center"/>
    </xf>
    <xf numFmtId="179" fontId="7" fillId="3" borderId="12" xfId="0" applyNumberFormat="1" applyFont="1" applyFill="1" applyBorder="1" applyAlignment="1">
      <alignment horizontal="left" vertical="center"/>
    </xf>
    <xf numFmtId="0" fontId="21" fillId="8" borderId="11" xfId="0" applyFont="1" applyFill="1" applyBorder="1" applyAlignment="1">
      <alignment horizontal="left" vertical="center"/>
    </xf>
    <xf numFmtId="0" fontId="21" fillId="8" borderId="1" xfId="0" applyFont="1" applyFill="1" applyBorder="1" applyAlignment="1">
      <alignment horizontal="left" vertical="center"/>
    </xf>
    <xf numFmtId="0" fontId="21" fillId="8" borderId="12" xfId="0" applyFont="1" applyFill="1" applyBorder="1" applyAlignment="1">
      <alignment horizontal="left" vertical="center"/>
    </xf>
    <xf numFmtId="0" fontId="7" fillId="5" borderId="27" xfId="0" applyFont="1" applyFill="1" applyBorder="1"/>
    <xf numFmtId="0" fontId="10" fillId="8" borderId="27" xfId="0" applyFont="1" applyFill="1" applyBorder="1" applyAlignment="1">
      <alignment horizontal="left" vertical="center" wrapText="1"/>
    </xf>
    <xf numFmtId="175" fontId="1" fillId="3" borderId="10" xfId="0" applyNumberFormat="1" applyFont="1" applyFill="1" applyBorder="1" applyAlignment="1">
      <alignment horizontal="right"/>
    </xf>
    <xf numFmtId="176" fontId="1" fillId="3" borderId="25" xfId="0" applyNumberFormat="1" applyFont="1" applyFill="1" applyBorder="1" applyAlignment="1">
      <alignment horizontal="right"/>
    </xf>
    <xf numFmtId="166" fontId="1" fillId="3" borderId="12" xfId="0" applyNumberFormat="1" applyFont="1" applyFill="1" applyBorder="1" applyAlignment="1">
      <alignment horizontal="right"/>
    </xf>
    <xf numFmtId="179" fontId="1" fillId="3" borderId="14" xfId="0" applyNumberFormat="1" applyFont="1" applyFill="1" applyBorder="1" applyAlignment="1">
      <alignment horizontal="right"/>
    </xf>
    <xf numFmtId="0" fontId="1" fillId="0" borderId="9" xfId="0" applyFont="1" applyBorder="1"/>
    <xf numFmtId="0" fontId="1" fillId="0" borderId="26" xfId="0" applyFont="1" applyBorder="1"/>
    <xf numFmtId="0" fontId="1" fillId="0" borderId="11" xfId="0" applyFont="1" applyBorder="1"/>
    <xf numFmtId="0" fontId="1" fillId="0" borderId="13" xfId="0" applyFont="1" applyBorder="1"/>
    <xf numFmtId="0" fontId="0" fillId="0" borderId="0" xfId="0" applyAlignment="1"/>
    <xf numFmtId="0" fontId="0" fillId="0" borderId="0" xfId="0" applyAlignment="1">
      <alignment vertical="center" wrapText="1"/>
    </xf>
    <xf numFmtId="0" fontId="1" fillId="8" borderId="9" xfId="0" applyFont="1" applyFill="1" applyBorder="1" applyAlignment="1">
      <alignment horizontal="left" vertical="center"/>
    </xf>
    <xf numFmtId="0" fontId="1" fillId="8" borderId="5" xfId="0" applyFont="1" applyFill="1" applyBorder="1" applyAlignment="1">
      <alignment horizontal="left" vertical="center"/>
    </xf>
    <xf numFmtId="0" fontId="1" fillId="8" borderId="10" xfId="0" applyFont="1" applyFill="1" applyBorder="1" applyAlignment="1">
      <alignment horizontal="left" vertical="center"/>
    </xf>
    <xf numFmtId="0" fontId="1" fillId="8" borderId="15" xfId="0" applyFont="1" applyFill="1" applyBorder="1" applyAlignment="1">
      <alignment horizontal="left" vertical="center"/>
    </xf>
    <xf numFmtId="0" fontId="1" fillId="8" borderId="4" xfId="0" applyFont="1" applyFill="1" applyBorder="1" applyAlignment="1">
      <alignment horizontal="left" vertical="center"/>
    </xf>
    <xf numFmtId="164" fontId="1" fillId="8" borderId="8" xfId="0" applyNumberFormat="1" applyFont="1" applyFill="1" applyBorder="1" applyAlignment="1">
      <alignment horizontal="left" vertical="center"/>
    </xf>
    <xf numFmtId="0" fontId="2" fillId="0" borderId="32" xfId="0" applyFont="1" applyBorder="1" applyAlignment="1">
      <alignment horizontal="center"/>
    </xf>
    <xf numFmtId="0" fontId="21" fillId="8" borderId="26" xfId="0" applyFont="1" applyFill="1" applyBorder="1"/>
    <xf numFmtId="0" fontId="21" fillId="8" borderId="13" xfId="0" applyFont="1" applyFill="1" applyBorder="1"/>
    <xf numFmtId="0" fontId="21" fillId="8" borderId="4" xfId="0" applyFont="1" applyFill="1" applyBorder="1" applyAlignment="1">
      <alignment horizontal="center"/>
    </xf>
    <xf numFmtId="0" fontId="21" fillId="8" borderId="8" xfId="0" applyFont="1" applyFill="1" applyBorder="1" applyAlignment="1">
      <alignment horizontal="center"/>
    </xf>
    <xf numFmtId="0" fontId="26" fillId="8" borderId="15" xfId="0" applyFont="1" applyFill="1" applyBorder="1" applyAlignment="1">
      <alignment horizontal="left" vertical="center" wrapText="1"/>
    </xf>
    <xf numFmtId="165" fontId="26" fillId="8" borderId="6" xfId="0" applyNumberFormat="1" applyFont="1" applyFill="1" applyBorder="1" applyAlignment="1">
      <alignment horizontal="left" vertical="center" wrapText="1"/>
    </xf>
    <xf numFmtId="166" fontId="26" fillId="8" borderId="6" xfId="0" applyNumberFormat="1" applyFont="1" applyFill="1" applyBorder="1" applyAlignment="1">
      <alignment horizontal="left" vertical="center" wrapText="1"/>
    </xf>
    <xf numFmtId="179" fontId="26" fillId="8" borderId="16" xfId="0" applyNumberFormat="1" applyFont="1" applyFill="1" applyBorder="1" applyAlignment="1">
      <alignment horizontal="left" vertical="center" wrapText="1"/>
    </xf>
    <xf numFmtId="10" fontId="31" fillId="3" borderId="24" xfId="0" applyNumberFormat="1" applyFont="1" applyFill="1" applyBorder="1" applyAlignment="1">
      <alignment horizontal="center"/>
    </xf>
    <xf numFmtId="10" fontId="31" fillId="3" borderId="25" xfId="0" applyNumberFormat="1" applyFont="1" applyFill="1" applyBorder="1" applyAlignment="1">
      <alignment horizontal="center"/>
    </xf>
    <xf numFmtId="10" fontId="31" fillId="3" borderId="3" xfId="0" applyNumberFormat="1" applyFont="1" applyFill="1" applyBorder="1" applyAlignment="1">
      <alignment horizontal="center"/>
    </xf>
    <xf numFmtId="10" fontId="31" fillId="3" borderId="14" xfId="0" applyNumberFormat="1" applyFont="1" applyFill="1" applyBorder="1" applyAlignment="1">
      <alignment horizontal="center"/>
    </xf>
    <xf numFmtId="0" fontId="8" fillId="8" borderId="31" xfId="0" applyFont="1" applyFill="1" applyBorder="1" applyAlignment="1">
      <alignment horizontal="center"/>
    </xf>
    <xf numFmtId="0" fontId="8" fillId="8" borderId="24" xfId="0" applyFont="1" applyFill="1" applyBorder="1" applyAlignment="1">
      <alignment horizontal="center"/>
    </xf>
    <xf numFmtId="0" fontId="8" fillId="8" borderId="24" xfId="0" applyFont="1" applyFill="1" applyBorder="1"/>
    <xf numFmtId="0" fontId="2" fillId="3" borderId="32" xfId="0" applyFont="1" applyFill="1" applyBorder="1" applyAlignment="1">
      <alignment horizontal="center"/>
    </xf>
    <xf numFmtId="0" fontId="2" fillId="3" borderId="1" xfId="0" applyFont="1" applyFill="1" applyBorder="1" applyAlignment="1">
      <alignment horizontal="center"/>
    </xf>
    <xf numFmtId="0" fontId="16" fillId="9" borderId="38" xfId="0" applyFont="1" applyFill="1" applyBorder="1" applyAlignment="1">
      <alignment horizontal="center"/>
    </xf>
    <xf numFmtId="0" fontId="2" fillId="9" borderId="32" xfId="0" applyFont="1" applyFill="1" applyBorder="1" applyAlignment="1">
      <alignment horizontal="center"/>
    </xf>
    <xf numFmtId="0" fontId="2" fillId="9" borderId="38" xfId="0" applyFont="1" applyFill="1" applyBorder="1" applyAlignment="1">
      <alignment horizontal="center"/>
    </xf>
    <xf numFmtId="0" fontId="2" fillId="0" borderId="38" xfId="0" applyFont="1" applyBorder="1" applyAlignment="1">
      <alignment horizontal="center"/>
    </xf>
    <xf numFmtId="0" fontId="16" fillId="0" borderId="38" xfId="0" applyFont="1" applyFill="1" applyBorder="1"/>
    <xf numFmtId="0" fontId="2" fillId="5" borderId="1" xfId="0" applyFont="1" applyFill="1" applyBorder="1"/>
    <xf numFmtId="0" fontId="2" fillId="5" borderId="2" xfId="0" applyFont="1" applyFill="1" applyBorder="1"/>
    <xf numFmtId="0" fontId="2" fillId="3" borderId="54" xfId="0" applyFont="1" applyFill="1" applyBorder="1" applyAlignment="1">
      <alignment horizontal="center"/>
    </xf>
    <xf numFmtId="0" fontId="2" fillId="3" borderId="2" xfId="0" applyFont="1" applyFill="1" applyBorder="1" applyAlignment="1">
      <alignment horizontal="center"/>
    </xf>
    <xf numFmtId="0" fontId="16" fillId="0" borderId="38" xfId="0" applyFont="1" applyFill="1" applyBorder="1" applyAlignment="1">
      <alignment horizontal="center"/>
    </xf>
    <xf numFmtId="0" fontId="16" fillId="9" borderId="45" xfId="0" applyFont="1" applyFill="1" applyBorder="1"/>
    <xf numFmtId="0" fontId="8" fillId="8" borderId="26" xfId="0" applyFont="1" applyFill="1" applyBorder="1"/>
    <xf numFmtId="0" fontId="8" fillId="8" borderId="25" xfId="0" applyFont="1" applyFill="1" applyBorder="1" applyAlignment="1">
      <alignment horizontal="center"/>
    </xf>
    <xf numFmtId="0" fontId="16" fillId="9" borderId="42" xfId="0" applyFont="1" applyFill="1" applyBorder="1"/>
    <xf numFmtId="0" fontId="2" fillId="0" borderId="43" xfId="0" applyFont="1" applyBorder="1" applyAlignment="1">
      <alignment horizontal="center"/>
    </xf>
    <xf numFmtId="0" fontId="2" fillId="5" borderId="11" xfId="0" applyFont="1" applyFill="1" applyBorder="1"/>
    <xf numFmtId="0" fontId="2" fillId="3" borderId="12" xfId="0" applyFont="1" applyFill="1" applyBorder="1" applyAlignment="1">
      <alignment horizontal="center"/>
    </xf>
    <xf numFmtId="0" fontId="2" fillId="9" borderId="43" xfId="0" applyFont="1" applyFill="1" applyBorder="1" applyAlignment="1">
      <alignment horizontal="center"/>
    </xf>
    <xf numFmtId="0" fontId="2" fillId="5" borderId="17" xfId="0" applyFont="1" applyFill="1" applyBorder="1"/>
    <xf numFmtId="0" fontId="2" fillId="3" borderId="18" xfId="0" applyFont="1" applyFill="1" applyBorder="1" applyAlignment="1">
      <alignment horizontal="center"/>
    </xf>
    <xf numFmtId="0" fontId="2" fillId="5" borderId="13" xfId="0" applyFont="1" applyFill="1" applyBorder="1"/>
    <xf numFmtId="0" fontId="2" fillId="3" borderId="79" xfId="0" applyFont="1" applyFill="1" applyBorder="1" applyAlignment="1">
      <alignment horizontal="center"/>
    </xf>
    <xf numFmtId="0" fontId="17" fillId="3" borderId="3" xfId="0" applyFont="1" applyFill="1" applyBorder="1" applyAlignment="1">
      <alignment horizontal="center"/>
    </xf>
    <xf numFmtId="0" fontId="2" fillId="3" borderId="3" xfId="0" applyFont="1" applyFill="1" applyBorder="1" applyAlignment="1">
      <alignment horizontal="center"/>
    </xf>
    <xf numFmtId="0" fontId="2" fillId="5" borderId="3" xfId="0" applyFont="1" applyFill="1" applyBorder="1"/>
    <xf numFmtId="0" fontId="2" fillId="3" borderId="14" xfId="0" applyFont="1" applyFill="1" applyBorder="1" applyAlignment="1">
      <alignment horizontal="center"/>
    </xf>
    <xf numFmtId="0" fontId="33" fillId="0" borderId="0" xfId="0" applyFont="1"/>
    <xf numFmtId="0" fontId="30" fillId="0" borderId="0" xfId="0" applyFont="1" applyAlignment="1">
      <alignment vertical="center"/>
    </xf>
    <xf numFmtId="0" fontId="0" fillId="0" borderId="0" xfId="0" applyBorder="1" applyAlignment="1">
      <alignment vertical="top" wrapText="1"/>
    </xf>
    <xf numFmtId="175" fontId="7" fillId="2" borderId="1" xfId="0" applyNumberFormat="1" applyFont="1" applyFill="1" applyBorder="1" applyAlignment="1" applyProtection="1">
      <alignment horizontal="center" wrapText="1"/>
      <protection locked="0"/>
    </xf>
    <xf numFmtId="194" fontId="2" fillId="2" borderId="29" xfId="0" applyNumberFormat="1" applyFont="1" applyFill="1" applyBorder="1" applyAlignment="1" applyProtection="1">
      <alignment horizontal="left" vertical="center"/>
      <protection locked="0"/>
    </xf>
    <xf numFmtId="194" fontId="2" fillId="2" borderId="38" xfId="0" applyNumberFormat="1" applyFont="1" applyFill="1" applyBorder="1" applyAlignment="1" applyProtection="1">
      <alignment horizontal="left" vertical="center"/>
      <protection locked="0"/>
    </xf>
    <xf numFmtId="194" fontId="2" fillId="2" borderId="51" xfId="0" applyNumberFormat="1" applyFont="1" applyFill="1" applyBorder="1" applyAlignment="1" applyProtection="1">
      <alignment horizontal="left" vertical="center"/>
      <protection locked="0"/>
    </xf>
    <xf numFmtId="194" fontId="2" fillId="2" borderId="70" xfId="0" applyNumberFormat="1" applyFont="1" applyFill="1" applyBorder="1" applyAlignment="1" applyProtection="1">
      <alignment horizontal="left" vertical="center"/>
      <protection locked="0"/>
    </xf>
    <xf numFmtId="194" fontId="2" fillId="2" borderId="71" xfId="0" applyNumberFormat="1" applyFont="1" applyFill="1" applyBorder="1" applyAlignment="1" applyProtection="1">
      <alignment horizontal="left" vertical="center"/>
      <protection locked="0"/>
    </xf>
    <xf numFmtId="194" fontId="2" fillId="2" borderId="37" xfId="0" applyNumberFormat="1" applyFont="1" applyFill="1" applyBorder="1" applyAlignment="1" applyProtection="1">
      <alignment horizontal="left" vertical="center"/>
      <protection locked="0"/>
    </xf>
    <xf numFmtId="194" fontId="2" fillId="2" borderId="39" xfId="0" applyNumberFormat="1" applyFont="1" applyFill="1" applyBorder="1" applyAlignment="1" applyProtection="1">
      <alignment horizontal="left" vertical="center"/>
      <protection locked="0"/>
    </xf>
    <xf numFmtId="175" fontId="7" fillId="3" borderId="76" xfId="0" applyNumberFormat="1" applyFont="1" applyFill="1" applyBorder="1" applyAlignment="1" applyProtection="1">
      <alignment horizontal="center"/>
    </xf>
    <xf numFmtId="195" fontId="15" fillId="8" borderId="4" xfId="0" applyNumberFormat="1" applyFont="1" applyFill="1" applyBorder="1" applyAlignment="1">
      <alignment horizontal="left" vertical="center"/>
    </xf>
    <xf numFmtId="195" fontId="2" fillId="2" borderId="52" xfId="0" applyNumberFormat="1" applyFont="1" applyFill="1" applyBorder="1" applyAlignment="1" applyProtection="1">
      <alignment horizontal="left" vertical="center"/>
      <protection locked="0"/>
    </xf>
    <xf numFmtId="195" fontId="2" fillId="2" borderId="42" xfId="0" applyNumberFormat="1" applyFont="1" applyFill="1" applyBorder="1" applyAlignment="1" applyProtection="1">
      <alignment horizontal="left" vertical="center"/>
      <protection locked="0"/>
    </xf>
    <xf numFmtId="195" fontId="2" fillId="2" borderId="22" xfId="0" applyNumberFormat="1" applyFont="1" applyFill="1" applyBorder="1" applyAlignment="1" applyProtection="1">
      <alignment horizontal="left" vertical="center"/>
      <protection locked="0"/>
    </xf>
    <xf numFmtId="195" fontId="2" fillId="2" borderId="70" xfId="0" applyNumberFormat="1" applyFont="1" applyFill="1" applyBorder="1" applyAlignment="1" applyProtection="1">
      <alignment horizontal="left" vertical="center"/>
      <protection locked="0"/>
    </xf>
    <xf numFmtId="195" fontId="2" fillId="2" borderId="38" xfId="0" applyNumberFormat="1" applyFont="1" applyFill="1" applyBorder="1" applyAlignment="1" applyProtection="1">
      <alignment horizontal="left" vertical="center"/>
      <protection locked="0"/>
    </xf>
    <xf numFmtId="195" fontId="2" fillId="2" borderId="71" xfId="0" applyNumberFormat="1" applyFont="1" applyFill="1" applyBorder="1" applyAlignment="1" applyProtection="1">
      <alignment horizontal="left" vertical="center"/>
      <protection locked="0"/>
    </xf>
    <xf numFmtId="195" fontId="2" fillId="2" borderId="37" xfId="0" applyNumberFormat="1" applyFont="1" applyFill="1" applyBorder="1" applyAlignment="1" applyProtection="1">
      <alignment horizontal="left" vertical="center"/>
      <protection locked="0"/>
    </xf>
    <xf numFmtId="195" fontId="2" fillId="2" borderId="51" xfId="0" applyNumberFormat="1" applyFont="1" applyFill="1" applyBorder="1" applyAlignment="1" applyProtection="1">
      <alignment horizontal="left" vertical="center"/>
      <protection locked="0"/>
    </xf>
    <xf numFmtId="195" fontId="2" fillId="2" borderId="56" xfId="0" applyNumberFormat="1" applyFont="1" applyFill="1" applyBorder="1" applyAlignment="1" applyProtection="1">
      <alignment horizontal="left" vertical="center"/>
      <protection locked="0"/>
    </xf>
    <xf numFmtId="195" fontId="2" fillId="2" borderId="66" xfId="0" applyNumberFormat="1" applyFont="1" applyFill="1" applyBorder="1" applyAlignment="1" applyProtection="1">
      <alignment horizontal="left" vertical="center"/>
      <protection locked="0"/>
    </xf>
    <xf numFmtId="195" fontId="5" fillId="8" borderId="4" xfId="0" applyNumberFormat="1" applyFont="1" applyFill="1" applyBorder="1" applyAlignment="1">
      <alignment horizontal="left" vertical="center"/>
    </xf>
    <xf numFmtId="166" fontId="2" fillId="3" borderId="60" xfId="0" applyNumberFormat="1" applyFont="1" applyFill="1" applyBorder="1" applyAlignment="1" applyProtection="1">
      <alignment horizontal="left" vertical="center"/>
    </xf>
    <xf numFmtId="166" fontId="5" fillId="8" borderId="6" xfId="0" applyNumberFormat="1" applyFont="1" applyFill="1" applyBorder="1" applyAlignment="1" applyProtection="1">
      <alignment horizontal="left" vertical="center"/>
    </xf>
    <xf numFmtId="179" fontId="2" fillId="3" borderId="33" xfId="0" applyNumberFormat="1" applyFont="1" applyFill="1" applyBorder="1" applyAlignment="1" applyProtection="1">
      <alignment horizontal="left" vertical="center"/>
    </xf>
    <xf numFmtId="179" fontId="5" fillId="8" borderId="27" xfId="0" applyNumberFormat="1" applyFont="1" applyFill="1" applyBorder="1" applyAlignment="1" applyProtection="1">
      <alignment horizontal="left" vertical="center"/>
    </xf>
    <xf numFmtId="195" fontId="7" fillId="2" borderId="33" xfId="0" applyNumberFormat="1" applyFont="1" applyFill="1" applyBorder="1" applyAlignment="1" applyProtection="1">
      <alignment horizontal="left" vertical="center"/>
      <protection locked="0"/>
    </xf>
    <xf numFmtId="195" fontId="7" fillId="2" borderId="35" xfId="0" applyNumberFormat="1" applyFont="1" applyFill="1" applyBorder="1" applyAlignment="1" applyProtection="1">
      <alignment horizontal="left" vertical="center"/>
      <protection locked="0"/>
    </xf>
    <xf numFmtId="195" fontId="7" fillId="2" borderId="36" xfId="0" applyNumberFormat="1" applyFont="1" applyFill="1" applyBorder="1" applyAlignment="1" applyProtection="1">
      <alignment horizontal="left" vertical="center"/>
      <protection locked="0"/>
    </xf>
    <xf numFmtId="195" fontId="7" fillId="2" borderId="5" xfId="0" applyNumberFormat="1" applyFont="1" applyFill="1" applyBorder="1" applyAlignment="1" applyProtection="1">
      <alignment horizontal="center"/>
      <protection locked="0"/>
    </xf>
    <xf numFmtId="195" fontId="7" fillId="2" borderId="1" xfId="0" applyNumberFormat="1" applyFont="1" applyFill="1" applyBorder="1" applyAlignment="1" applyProtection="1">
      <alignment horizontal="center"/>
      <protection locked="0"/>
    </xf>
    <xf numFmtId="195" fontId="7" fillId="2" borderId="2" xfId="0" applyNumberFormat="1" applyFont="1" applyFill="1" applyBorder="1" applyAlignment="1" applyProtection="1">
      <alignment horizontal="center"/>
      <protection locked="0"/>
    </xf>
    <xf numFmtId="195" fontId="4" fillId="8" borderId="4" xfId="0" applyNumberFormat="1" applyFont="1" applyFill="1" applyBorder="1" applyAlignment="1">
      <alignment horizontal="center"/>
    </xf>
    <xf numFmtId="195" fontId="7" fillId="2" borderId="63" xfId="0" applyNumberFormat="1" applyFont="1" applyFill="1" applyBorder="1" applyAlignment="1" applyProtection="1">
      <alignment horizontal="center"/>
      <protection locked="0"/>
    </xf>
    <xf numFmtId="195" fontId="7" fillId="2" borderId="53" xfId="0" applyNumberFormat="1" applyFont="1" applyFill="1" applyBorder="1" applyAlignment="1" applyProtection="1">
      <alignment horizontal="center"/>
      <protection locked="0"/>
    </xf>
    <xf numFmtId="164" fontId="2" fillId="2" borderId="2" xfId="0" applyNumberFormat="1" applyFont="1" applyFill="1" applyBorder="1" applyAlignment="1" applyProtection="1">
      <alignment horizontal="left" vertical="center"/>
      <protection locked="0"/>
    </xf>
    <xf numFmtId="164" fontId="2" fillId="3" borderId="1" xfId="0" applyNumberFormat="1" applyFont="1" applyFill="1" applyBorder="1" applyAlignment="1" applyProtection="1">
      <alignment horizontal="left" vertical="center"/>
    </xf>
    <xf numFmtId="164" fontId="2" fillId="3" borderId="45" xfId="0" applyNumberFormat="1" applyFont="1" applyFill="1" applyBorder="1" applyAlignment="1" applyProtection="1">
      <alignment horizontal="left" vertical="center"/>
    </xf>
    <xf numFmtId="164" fontId="5" fillId="8" borderId="30" xfId="0" applyNumberFormat="1" applyFont="1" applyFill="1" applyBorder="1" applyAlignment="1" applyProtection="1">
      <alignment horizontal="left" vertical="center"/>
    </xf>
    <xf numFmtId="0" fontId="16" fillId="4" borderId="11" xfId="0" applyFont="1" applyFill="1" applyBorder="1" applyAlignment="1" applyProtection="1">
      <alignment horizontal="left" vertical="center"/>
      <protection locked="0"/>
    </xf>
    <xf numFmtId="0" fontId="2" fillId="5" borderId="63" xfId="0" applyFont="1" applyFill="1" applyBorder="1" applyAlignment="1" applyProtection="1">
      <alignment horizontal="left" vertical="center"/>
    </xf>
    <xf numFmtId="0" fontId="2" fillId="5" borderId="1"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5" fillId="8" borderId="8" xfId="0" applyFont="1" applyFill="1" applyBorder="1" applyAlignment="1" applyProtection="1">
      <alignment horizontal="left" vertical="center"/>
    </xf>
    <xf numFmtId="0" fontId="2" fillId="2" borderId="24" xfId="0" applyFont="1" applyFill="1" applyBorder="1" applyAlignment="1" applyProtection="1">
      <alignment horizontal="left" vertical="center"/>
      <protection locked="0"/>
    </xf>
    <xf numFmtId="0" fontId="2" fillId="2" borderId="1" xfId="0" applyFont="1" applyFill="1" applyBorder="1" applyAlignment="1" applyProtection="1">
      <alignment horizontal="left" vertical="center"/>
      <protection locked="0"/>
    </xf>
    <xf numFmtId="0" fontId="2" fillId="2" borderId="3" xfId="0" applyFont="1" applyFill="1" applyBorder="1" applyAlignment="1" applyProtection="1">
      <alignment horizontal="left" vertical="center"/>
      <protection locked="0"/>
    </xf>
    <xf numFmtId="0" fontId="2" fillId="2" borderId="5" xfId="0" applyFont="1" applyFill="1" applyBorder="1" applyAlignment="1" applyProtection="1">
      <alignment horizontal="left" vertical="center"/>
      <protection locked="0"/>
    </xf>
    <xf numFmtId="0" fontId="2" fillId="2" borderId="2" xfId="0" applyFont="1" applyFill="1" applyBorder="1" applyAlignment="1" applyProtection="1">
      <alignment horizontal="left" vertical="center"/>
      <protection locked="0"/>
    </xf>
    <xf numFmtId="0" fontId="5" fillId="4" borderId="11" xfId="0" applyFont="1" applyFill="1" applyBorder="1" applyAlignment="1" applyProtection="1">
      <alignment horizontal="left" vertical="center"/>
      <protection locked="0"/>
    </xf>
    <xf numFmtId="0" fontId="27" fillId="5" borderId="20" xfId="0" applyFont="1" applyFill="1" applyBorder="1" applyAlignment="1" applyProtection="1">
      <alignment vertical="center"/>
    </xf>
    <xf numFmtId="0" fontId="27" fillId="5" borderId="21" xfId="0" applyFont="1" applyFill="1" applyBorder="1" applyAlignment="1" applyProtection="1">
      <alignment vertical="center"/>
    </xf>
    <xf numFmtId="0" fontId="26" fillId="8" borderId="73" xfId="0" applyFont="1" applyFill="1" applyBorder="1" applyProtection="1"/>
    <xf numFmtId="0" fontId="11" fillId="8" borderId="15" xfId="0" applyFont="1" applyFill="1" applyBorder="1" applyAlignment="1" applyProtection="1">
      <alignment horizontal="center"/>
    </xf>
    <xf numFmtId="0" fontId="11" fillId="8" borderId="6" xfId="0" applyFont="1" applyFill="1" applyBorder="1" applyAlignment="1" applyProtection="1">
      <alignment horizontal="center"/>
    </xf>
    <xf numFmtId="0" fontId="11" fillId="8" borderId="23" xfId="0" applyFont="1" applyFill="1" applyBorder="1" applyAlignment="1" applyProtection="1">
      <alignment horizontal="center"/>
    </xf>
    <xf numFmtId="0" fontId="11" fillId="8" borderId="16" xfId="0" applyFont="1" applyFill="1" applyBorder="1" applyAlignment="1" applyProtection="1">
      <alignment horizontal="center"/>
    </xf>
    <xf numFmtId="0" fontId="0" fillId="0" borderId="0" xfId="0" applyProtection="1"/>
    <xf numFmtId="0" fontId="7" fillId="5" borderId="75" xfId="0" applyFont="1" applyFill="1" applyBorder="1" applyAlignment="1" applyProtection="1">
      <alignment horizontal="left"/>
    </xf>
    <xf numFmtId="0" fontId="7" fillId="5" borderId="77" xfId="0" applyFont="1" applyFill="1" applyBorder="1" applyProtection="1"/>
    <xf numFmtId="175" fontId="7" fillId="3" borderId="78" xfId="0" applyNumberFormat="1" applyFont="1" applyFill="1" applyBorder="1" applyAlignment="1" applyProtection="1">
      <alignment horizontal="center"/>
    </xf>
    <xf numFmtId="0" fontId="1" fillId="8" borderId="7" xfId="0" applyFont="1" applyFill="1" applyBorder="1" applyProtection="1"/>
    <xf numFmtId="186" fontId="1" fillId="8" borderId="8" xfId="0" applyNumberFormat="1" applyFont="1" applyFill="1" applyBorder="1" applyAlignment="1" applyProtection="1">
      <alignment horizontal="center"/>
    </xf>
    <xf numFmtId="0" fontId="21" fillId="8" borderId="26" xfId="0" applyFont="1" applyFill="1" applyBorder="1" applyProtection="1"/>
    <xf numFmtId="0" fontId="1" fillId="8" borderId="24" xfId="0" applyFont="1" applyFill="1" applyBorder="1" applyAlignment="1" applyProtection="1">
      <alignment horizontal="center"/>
    </xf>
    <xf numFmtId="0" fontId="1" fillId="8" borderId="25" xfId="0" applyFont="1" applyFill="1" applyBorder="1" applyAlignment="1" applyProtection="1">
      <alignment horizontal="center"/>
    </xf>
    <xf numFmtId="0" fontId="7" fillId="5" borderId="11" xfId="0" applyFont="1" applyFill="1" applyBorder="1" applyProtection="1"/>
    <xf numFmtId="175" fontId="7" fillId="3" borderId="1" xfId="0" applyNumberFormat="1" applyFont="1" applyFill="1" applyBorder="1" applyAlignment="1" applyProtection="1">
      <alignment horizontal="center"/>
    </xf>
    <xf numFmtId="175" fontId="7" fillId="3" borderId="12" xfId="0" applyNumberFormat="1" applyFont="1" applyFill="1" applyBorder="1" applyAlignment="1" applyProtection="1">
      <alignment horizontal="center"/>
    </xf>
    <xf numFmtId="0" fontId="0" fillId="0" borderId="0" xfId="0" applyAlignment="1" applyProtection="1">
      <alignment wrapText="1"/>
    </xf>
    <xf numFmtId="0" fontId="7" fillId="5" borderId="11" xfId="0" applyFont="1" applyFill="1" applyBorder="1" applyAlignment="1" applyProtection="1">
      <alignment wrapText="1"/>
    </xf>
    <xf numFmtId="0" fontId="7" fillId="3" borderId="1" xfId="0" applyNumberFormat="1" applyFont="1" applyFill="1" applyBorder="1" applyAlignment="1" applyProtection="1">
      <alignment horizontal="center"/>
    </xf>
    <xf numFmtId="0" fontId="0" fillId="0" borderId="0" xfId="0" applyBorder="1" applyAlignment="1" applyProtection="1">
      <alignment wrapText="1"/>
    </xf>
    <xf numFmtId="0" fontId="1" fillId="8" borderId="11" xfId="0" applyFont="1" applyFill="1" applyBorder="1" applyAlignment="1" applyProtection="1"/>
    <xf numFmtId="175" fontId="1" fillId="8" borderId="1" xfId="0" applyNumberFormat="1" applyFont="1" applyFill="1" applyBorder="1" applyAlignment="1" applyProtection="1">
      <alignment horizontal="center"/>
    </xf>
    <xf numFmtId="0" fontId="1" fillId="8" borderId="1" xfId="0" applyNumberFormat="1" applyFont="1" applyFill="1" applyBorder="1" applyAlignment="1" applyProtection="1">
      <alignment horizontal="center"/>
    </xf>
    <xf numFmtId="175" fontId="1" fillId="8" borderId="12" xfId="0" applyNumberFormat="1" applyFont="1" applyFill="1" applyBorder="1" applyAlignment="1" applyProtection="1">
      <alignment horizontal="center"/>
    </xf>
    <xf numFmtId="0" fontId="1" fillId="8" borderId="13" xfId="0" applyFont="1" applyFill="1" applyBorder="1" applyProtection="1"/>
    <xf numFmtId="175" fontId="1" fillId="8" borderId="3" xfId="0" applyNumberFormat="1" applyFont="1" applyFill="1" applyBorder="1" applyAlignment="1" applyProtection="1">
      <alignment horizontal="center"/>
    </xf>
    <xf numFmtId="0" fontId="1" fillId="8" borderId="3" xfId="0" applyNumberFormat="1" applyFont="1" applyFill="1" applyBorder="1" applyAlignment="1" applyProtection="1">
      <alignment horizontal="center"/>
    </xf>
    <xf numFmtId="175" fontId="1" fillId="8" borderId="14" xfId="0" applyNumberFormat="1" applyFont="1" applyFill="1" applyBorder="1" applyAlignment="1" applyProtection="1">
      <alignment horizontal="center"/>
    </xf>
    <xf numFmtId="0" fontId="32" fillId="0" borderId="0" xfId="0" applyFont="1" applyProtection="1"/>
    <xf numFmtId="0" fontId="1" fillId="8" borderId="7" xfId="0" applyFont="1" applyFill="1" applyBorder="1" applyAlignment="1" applyProtection="1">
      <alignment wrapText="1"/>
    </xf>
    <xf numFmtId="10" fontId="4" fillId="3" borderId="8" xfId="0" applyNumberFormat="1" applyFont="1" applyFill="1" applyBorder="1" applyProtection="1"/>
    <xf numFmtId="0" fontId="29" fillId="0" borderId="0" xfId="0" applyFont="1" applyBorder="1" applyAlignment="1">
      <alignment horizontal="center" vertical="center"/>
    </xf>
    <xf numFmtId="0" fontId="30" fillId="0" borderId="0" xfId="0" applyFont="1" applyBorder="1" applyAlignment="1">
      <alignment horizontal="center"/>
    </xf>
    <xf numFmtId="0" fontId="27" fillId="0" borderId="0" xfId="0" applyFont="1" applyAlignment="1">
      <alignment horizontal="center" vertical="center"/>
    </xf>
    <xf numFmtId="0" fontId="19" fillId="0" borderId="52" xfId="0" applyFont="1" applyBorder="1" applyAlignment="1">
      <alignment horizontal="center" vertical="center"/>
    </xf>
    <xf numFmtId="0" fontId="19" fillId="0" borderId="29" xfId="0" applyFont="1" applyBorder="1" applyAlignment="1">
      <alignment horizontal="center" vertical="center"/>
    </xf>
    <xf numFmtId="0" fontId="19" fillId="0" borderId="28" xfId="0" applyFont="1" applyBorder="1" applyAlignment="1">
      <alignment horizontal="center" vertical="center"/>
    </xf>
    <xf numFmtId="0" fontId="0" fillId="0" borderId="55" xfId="0" applyBorder="1" applyAlignment="1">
      <alignment horizontal="left" vertical="top" wrapText="1"/>
    </xf>
    <xf numFmtId="0" fontId="0" fillId="0" borderId="0" xfId="0" applyBorder="1" applyAlignment="1">
      <alignment horizontal="left" vertical="top" wrapText="1"/>
    </xf>
    <xf numFmtId="0" fontId="0" fillId="0" borderId="59" xfId="0" applyBorder="1" applyAlignment="1">
      <alignment horizontal="left" vertical="top" wrapText="1"/>
    </xf>
    <xf numFmtId="0" fontId="0" fillId="0" borderId="22" xfId="0" applyBorder="1" applyAlignment="1">
      <alignment horizontal="left" vertical="top" wrapText="1"/>
    </xf>
    <xf numFmtId="0" fontId="0" fillId="0" borderId="51" xfId="0" applyBorder="1" applyAlignment="1">
      <alignment horizontal="left" vertical="top" wrapText="1"/>
    </xf>
    <xf numFmtId="0" fontId="0" fillId="0" borderId="49" xfId="0" applyBorder="1" applyAlignment="1">
      <alignment horizontal="left" vertical="top" wrapText="1"/>
    </xf>
    <xf numFmtId="0" fontId="24" fillId="7" borderId="19" xfId="0" applyFont="1" applyFill="1" applyBorder="1" applyAlignment="1">
      <alignment horizontal="center" vertical="center"/>
    </xf>
    <xf numFmtId="0" fontId="25" fillId="7" borderId="20" xfId="0" applyFont="1" applyFill="1" applyBorder="1" applyAlignment="1">
      <alignment horizontal="center" vertical="center"/>
    </xf>
    <xf numFmtId="0" fontId="25" fillId="7" borderId="21" xfId="0" applyFont="1" applyFill="1" applyBorder="1" applyAlignment="1">
      <alignment horizontal="center" vertical="center"/>
    </xf>
    <xf numFmtId="0" fontId="23" fillId="7" borderId="19" xfId="0" applyNumberFormat="1" applyFont="1" applyFill="1" applyBorder="1" applyAlignment="1">
      <alignment horizontal="center" vertical="center"/>
    </xf>
    <xf numFmtId="0" fontId="23" fillId="7" borderId="20" xfId="0" applyNumberFormat="1" applyFont="1" applyFill="1" applyBorder="1" applyAlignment="1">
      <alignment horizontal="center" vertical="center"/>
    </xf>
    <xf numFmtId="0" fontId="23" fillId="7" borderId="21" xfId="0" applyNumberFormat="1" applyFont="1" applyFill="1" applyBorder="1" applyAlignment="1">
      <alignment horizontal="center" vertical="center"/>
    </xf>
    <xf numFmtId="0" fontId="24" fillId="7" borderId="52" xfId="0" applyFont="1" applyFill="1" applyBorder="1" applyAlignment="1">
      <alignment horizontal="center" vertical="center"/>
    </xf>
    <xf numFmtId="0" fontId="24" fillId="7" borderId="29" xfId="0" applyFont="1" applyFill="1" applyBorder="1" applyAlignment="1">
      <alignment horizontal="center" vertical="center"/>
    </xf>
    <xf numFmtId="0" fontId="24" fillId="7" borderId="28" xfId="0" applyFont="1" applyFill="1" applyBorder="1" applyAlignment="1">
      <alignment horizontal="center" vertical="center"/>
    </xf>
    <xf numFmtId="0" fontId="24" fillId="7" borderId="55" xfId="0" applyFont="1" applyFill="1" applyBorder="1" applyAlignment="1">
      <alignment horizontal="center" vertical="center"/>
    </xf>
    <xf numFmtId="0" fontId="24" fillId="7" borderId="0" xfId="0" applyFont="1" applyFill="1" applyBorder="1" applyAlignment="1">
      <alignment horizontal="center" vertical="center"/>
    </xf>
    <xf numFmtId="0" fontId="24" fillId="7" borderId="59" xfId="0" applyFont="1" applyFill="1" applyBorder="1" applyAlignment="1">
      <alignment horizontal="center" vertical="center"/>
    </xf>
    <xf numFmtId="0" fontId="23" fillId="7" borderId="19" xfId="0" applyFont="1" applyFill="1" applyBorder="1" applyAlignment="1">
      <alignment horizontal="center" vertical="center"/>
    </xf>
    <xf numFmtId="0" fontId="23" fillId="7" borderId="21" xfId="0" applyFont="1" applyFill="1" applyBorder="1" applyAlignment="1">
      <alignment horizontal="center" vertical="center"/>
    </xf>
    <xf numFmtId="0" fontId="24" fillId="7" borderId="55" xfId="0" applyFont="1" applyFill="1" applyBorder="1" applyAlignment="1">
      <alignment horizontal="center"/>
    </xf>
    <xf numFmtId="0" fontId="24" fillId="7" borderId="0" xfId="0" applyFont="1" applyFill="1" applyBorder="1" applyAlignment="1">
      <alignment horizontal="center"/>
    </xf>
    <xf numFmtId="166" fontId="4" fillId="3" borderId="42" xfId="0" applyNumberFormat="1" applyFont="1" applyFill="1" applyBorder="1" applyAlignment="1">
      <alignment horizontal="center"/>
    </xf>
    <xf numFmtId="166" fontId="4" fillId="3" borderId="43" xfId="0" applyNumberFormat="1" applyFont="1" applyFill="1" applyBorder="1" applyAlignment="1">
      <alignment horizontal="center"/>
    </xf>
    <xf numFmtId="176" fontId="4" fillId="3" borderId="42" xfId="0" applyNumberFormat="1" applyFont="1" applyFill="1" applyBorder="1" applyAlignment="1">
      <alignment horizontal="center"/>
    </xf>
    <xf numFmtId="176" fontId="4" fillId="3" borderId="43" xfId="0" applyNumberFormat="1" applyFont="1" applyFill="1" applyBorder="1" applyAlignment="1">
      <alignment horizontal="center"/>
    </xf>
    <xf numFmtId="179" fontId="4" fillId="3" borderId="57" xfId="0" applyNumberFormat="1" applyFont="1" applyFill="1" applyBorder="1" applyAlignment="1">
      <alignment horizontal="center"/>
    </xf>
    <xf numFmtId="179" fontId="4" fillId="3" borderId="58" xfId="0" applyNumberFormat="1" applyFont="1" applyFill="1" applyBorder="1" applyAlignment="1">
      <alignment horizontal="center"/>
    </xf>
    <xf numFmtId="0" fontId="24" fillId="7" borderId="19" xfId="0" applyFont="1" applyFill="1" applyBorder="1" applyAlignment="1">
      <alignment horizontal="center"/>
    </xf>
    <xf numFmtId="0" fontId="24" fillId="7" borderId="21" xfId="0" applyFont="1" applyFill="1" applyBorder="1" applyAlignment="1">
      <alignment horizontal="center"/>
    </xf>
    <xf numFmtId="0" fontId="24" fillId="7" borderId="20" xfId="0" applyFont="1" applyFill="1" applyBorder="1" applyAlignment="1">
      <alignment horizontal="center"/>
    </xf>
    <xf numFmtId="0" fontId="27" fillId="5" borderId="19" xfId="0" applyFont="1" applyFill="1" applyBorder="1" applyAlignment="1">
      <alignment horizontal="center" vertical="center"/>
    </xf>
    <xf numFmtId="0" fontId="27" fillId="5" borderId="20" xfId="0" applyFont="1" applyFill="1" applyBorder="1" applyAlignment="1">
      <alignment horizontal="center" vertical="center"/>
    </xf>
    <xf numFmtId="0" fontId="27" fillId="5" borderId="21" xfId="0" applyFont="1" applyFill="1" applyBorder="1" applyAlignment="1">
      <alignment horizontal="center" vertical="center"/>
    </xf>
    <xf numFmtId="0" fontId="27" fillId="0" borderId="19" xfId="0" applyFont="1" applyBorder="1" applyAlignment="1" applyProtection="1">
      <alignment horizontal="right" vertical="center"/>
    </xf>
    <xf numFmtId="0" fontId="27" fillId="0" borderId="20" xfId="0" applyFont="1" applyBorder="1" applyAlignment="1" applyProtection="1">
      <alignment horizontal="right" vertical="center"/>
    </xf>
    <xf numFmtId="0" fontId="24" fillId="7" borderId="52" xfId="0" applyFont="1" applyFill="1" applyBorder="1" applyAlignment="1">
      <alignment horizontal="center"/>
    </xf>
    <xf numFmtId="0" fontId="24" fillId="7" borderId="29" xfId="0" applyFont="1" applyFill="1" applyBorder="1" applyAlignment="1">
      <alignment horizontal="center"/>
    </xf>
    <xf numFmtId="0" fontId="24" fillId="7" borderId="28" xfId="0" applyFont="1" applyFill="1" applyBorder="1" applyAlignment="1">
      <alignment horizontal="center"/>
    </xf>
    <xf numFmtId="0" fontId="24" fillId="7" borderId="20" xfId="0" applyFont="1" applyFill="1" applyBorder="1" applyAlignment="1">
      <alignment horizontal="center" vertical="center"/>
    </xf>
    <xf numFmtId="0" fontId="24" fillId="7" borderId="21" xfId="0" applyFont="1" applyFill="1" applyBorder="1" applyAlignment="1">
      <alignment horizontal="center" vertical="center"/>
    </xf>
    <xf numFmtId="0" fontId="24" fillId="7" borderId="7" xfId="0" applyFont="1" applyFill="1" applyBorder="1" applyAlignment="1" applyProtection="1">
      <alignment horizontal="center"/>
    </xf>
    <xf numFmtId="0" fontId="24" fillId="7" borderId="4" xfId="0" applyFont="1" applyFill="1" applyBorder="1" applyAlignment="1" applyProtection="1">
      <alignment horizontal="center"/>
    </xf>
    <xf numFmtId="0" fontId="24" fillId="7" borderId="8" xfId="0" applyFont="1" applyFill="1" applyBorder="1" applyAlignment="1" applyProtection="1">
      <alignment horizontal="center"/>
    </xf>
    <xf numFmtId="0" fontId="24" fillId="7" borderId="19" xfId="0" applyFont="1" applyFill="1" applyBorder="1" applyAlignment="1" applyProtection="1">
      <alignment horizontal="center"/>
    </xf>
    <xf numFmtId="0" fontId="24" fillId="7" borderId="20" xfId="0" applyFont="1" applyFill="1" applyBorder="1" applyAlignment="1" applyProtection="1">
      <alignment horizontal="center"/>
    </xf>
  </cellXfs>
  <cellStyles count="2">
    <cellStyle name="Normal" xfId="0" builtinId="0"/>
    <cellStyle name="Pourcentage" xfId="1" builtinId="5"/>
  </cellStyles>
  <dxfs count="155">
    <dxf>
      <font>
        <strike val="0"/>
        <outline val="0"/>
        <shadow val="0"/>
        <u val="none"/>
        <vertAlign val="baseline"/>
        <sz val="12"/>
        <color theme="1"/>
        <name val="Calibri"/>
        <scheme val="minor"/>
      </font>
      <alignment horizontal="center" vertical="bottom" textRotation="0" wrapText="0" indent="0" justifyLastLine="0" shrinkToFit="0" readingOrder="0"/>
    </dxf>
    <dxf>
      <font>
        <strike val="0"/>
        <outline val="0"/>
        <shadow val="0"/>
        <u val="none"/>
        <vertAlign val="baseline"/>
        <sz val="12"/>
        <color theme="1"/>
        <name val="Calibri"/>
        <scheme val="minor"/>
      </font>
      <alignment horizontal="center" vertical="bottom" textRotation="0" wrapText="0" indent="0" justifyLastLine="0" shrinkToFit="0" readingOrder="0"/>
    </dxf>
    <dxf>
      <font>
        <strike val="0"/>
        <outline val="0"/>
        <shadow val="0"/>
        <u val="none"/>
        <vertAlign val="baseline"/>
        <sz val="12"/>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auto="1"/>
        </patternFill>
      </fill>
    </dxf>
    <dxf>
      <font>
        <strike val="0"/>
        <outline val="0"/>
        <shadow val="0"/>
        <u val="none"/>
        <vertAlign val="baseline"/>
        <sz val="12"/>
        <color theme="1"/>
        <name val="Calibri"/>
        <scheme val="minor"/>
      </font>
      <fill>
        <patternFill patternType="solid">
          <fgColor indexed="64"/>
          <bgColor theme="0" tint="-0.34998626667073579"/>
        </patternFill>
      </fill>
    </dxf>
    <dxf>
      <font>
        <strike val="0"/>
        <outline val="0"/>
        <shadow val="0"/>
        <u val="none"/>
        <vertAlign val="baseline"/>
        <sz val="12"/>
        <color theme="1"/>
        <name val="Calibri"/>
        <scheme val="minor"/>
      </font>
      <alignment horizontal="center" vertical="bottom" textRotation="0" wrapText="0" indent="0" justifyLastLine="0" shrinkToFit="0" readingOrder="0"/>
    </dxf>
    <dxf>
      <font>
        <strike val="0"/>
        <outline val="0"/>
        <shadow val="0"/>
        <u val="none"/>
        <vertAlign val="baseline"/>
        <sz val="12"/>
        <color theme="1"/>
        <name val="Calibri"/>
        <scheme val="minor"/>
      </font>
      <alignment horizontal="center" vertical="bottom" textRotation="0" wrapText="0" indent="0" justifyLastLine="0" shrinkToFit="0" readingOrder="0"/>
    </dxf>
    <dxf>
      <font>
        <strike val="0"/>
        <outline val="0"/>
        <shadow val="0"/>
        <u val="none"/>
        <vertAlign val="baseline"/>
        <sz val="12"/>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auto="1"/>
        </patternFill>
      </fill>
    </dxf>
    <dxf>
      <font>
        <strike val="0"/>
        <outline val="0"/>
        <shadow val="0"/>
        <u val="none"/>
        <vertAlign val="baseline"/>
        <sz val="12"/>
        <color theme="1"/>
        <name val="Calibri"/>
        <scheme val="minor"/>
      </font>
      <fill>
        <patternFill patternType="solid">
          <fgColor indexed="64"/>
          <bgColor theme="0" tint="-0.34998626667073579"/>
        </patternFill>
      </fill>
    </dxf>
    <dxf>
      <border>
        <top style="thin">
          <color auto="1"/>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2"/>
        <color theme="1"/>
        <name val="Calibri"/>
        <scheme val="minor"/>
      </font>
    </dxf>
    <dxf>
      <border>
        <bottom style="thin">
          <color auto="1"/>
        </bottom>
      </border>
    </dxf>
    <dxf>
      <font>
        <strike val="0"/>
        <outline val="0"/>
        <shadow val="0"/>
        <u val="none"/>
        <vertAlign val="baseline"/>
        <sz val="14"/>
        <color auto="1"/>
        <name val="Calibri"/>
        <scheme val="minor"/>
      </font>
      <fill>
        <patternFill patternType="solid">
          <fgColor indexed="64"/>
          <bgColor rgb="FFF0AC62"/>
        </patternFill>
      </fill>
      <border diagonalUp="0" diagonalDown="0" outline="0">
        <left style="thin">
          <color auto="1"/>
        </left>
        <right style="thin">
          <color auto="1"/>
        </right>
        <top/>
        <bottom/>
      </border>
    </dxf>
    <dxf>
      <numFmt numFmtId="174" formatCode="#0.00\ &quot;€/T&quot;"/>
    </dxf>
    <dxf>
      <numFmt numFmtId="178" formatCode="#0.00\ &quot;Kg de DVE/T de MS&quot;"/>
    </dxf>
    <dxf>
      <numFmt numFmtId="177" formatCode="#0.00\ &quot;VEM/T de MS&quot;"/>
    </dxf>
    <dxf>
      <border diagonalUp="0" diagonalDown="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6"/>
        <color auto="1"/>
        <name val="Calibri"/>
        <scheme val="minor"/>
      </font>
      <fill>
        <patternFill patternType="solid">
          <fgColor indexed="64"/>
          <bgColor rgb="FFF0AC62"/>
        </patternFill>
      </fill>
      <alignment horizontal="center" vertical="bottom" textRotation="0" wrapText="0" indent="0" justifyLastLine="0" shrinkToFit="0" readingOrder="0"/>
      <border diagonalUp="0" diagonalDown="0" outline="0">
        <left style="thin">
          <color auto="1"/>
        </left>
        <right style="thin">
          <color auto="1"/>
        </right>
        <top/>
        <bottom/>
      </border>
    </dxf>
    <dxf>
      <numFmt numFmtId="175" formatCode="#,##0.00\ &quot;€&quot;"/>
      <protection locked="1" hidden="0"/>
    </dxf>
    <dxf>
      <numFmt numFmtId="174" formatCode="#0.00\ &quot;€/T&quot;"/>
    </dxf>
    <dxf>
      <font>
        <b val="0"/>
        <i val="0"/>
        <strike val="0"/>
        <condense val="0"/>
        <extend val="0"/>
        <outline val="0"/>
        <shadow val="0"/>
        <u val="none"/>
        <vertAlign val="baseline"/>
        <sz val="14"/>
        <color theme="1"/>
        <name val="Calibri"/>
        <scheme val="minor"/>
      </font>
      <numFmt numFmtId="179" formatCode="#0.00\ &quot;Kg de DVE&quot;"/>
      <fill>
        <patternFill patternType="solid">
          <fgColor indexed="64"/>
          <bgColor rgb="FF92D050"/>
        </patternFill>
      </fill>
      <alignment horizontal="center" vertical="bottom" textRotation="0" wrapText="0" indent="0" justifyLastLine="0" shrinkToFit="0" readingOrder="0"/>
      <protection locked="1" hidden="0"/>
    </dxf>
    <dxf>
      <numFmt numFmtId="178" formatCode="#0.00\ &quot;Kg de DVE/T de MS&quot;"/>
    </dxf>
    <dxf>
      <font>
        <b val="0"/>
        <i val="0"/>
        <strike val="0"/>
        <condense val="0"/>
        <extend val="0"/>
        <outline val="0"/>
        <shadow val="0"/>
        <u val="none"/>
        <vertAlign val="baseline"/>
        <sz val="14"/>
        <color theme="1"/>
        <name val="Calibri"/>
        <scheme val="minor"/>
      </font>
      <numFmt numFmtId="166" formatCode="#0.00\ &quot;VEM&quot;"/>
      <fill>
        <patternFill patternType="solid">
          <fgColor indexed="64"/>
          <bgColor rgb="FF92D050"/>
        </patternFill>
      </fill>
      <alignment horizontal="center" vertical="bottom" textRotation="0" wrapText="0" indent="0" justifyLastLine="0" shrinkToFit="0" readingOrder="0"/>
      <protection locked="1" hidden="0"/>
    </dxf>
    <dxf>
      <numFmt numFmtId="195" formatCode="#0.00\ &quot;VEM/kg de MS&quot;"/>
    </dxf>
    <dxf>
      <numFmt numFmtId="165" formatCode="#0.00\ &quot;T&quot;"/>
    </dxf>
    <dxf>
      <border diagonalUp="0" diagonalDown="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20"/>
        <color auto="1"/>
        <name val="Calibri"/>
        <scheme val="minor"/>
      </font>
      <fill>
        <patternFill patternType="solid">
          <fgColor indexed="64"/>
          <bgColor rgb="FFF0AC62"/>
        </patternFill>
      </fill>
      <alignment horizontal="center" vertical="bottom" textRotation="0" wrapText="0" indent="0" justifyLastLine="0" shrinkToFit="0" readingOrder="0"/>
      <border diagonalUp="0" diagonalDown="0" outline="0">
        <left style="thin">
          <color auto="1"/>
        </left>
        <right style="thin">
          <color auto="1"/>
        </right>
        <top/>
        <bottom/>
      </border>
    </dxf>
    <dxf>
      <numFmt numFmtId="174" formatCode="#0.00\ &quot;€/T&quot;"/>
      <protection locked="1" hidden="0"/>
    </dxf>
    <dxf>
      <numFmt numFmtId="174" formatCode="#0.00\ &quot;€/T&quot;"/>
    </dxf>
    <dxf>
      <font>
        <b val="0"/>
        <i val="0"/>
        <strike val="0"/>
        <condense val="0"/>
        <extend val="0"/>
        <outline val="0"/>
        <shadow val="0"/>
        <u val="none"/>
        <vertAlign val="baseline"/>
        <sz val="14"/>
        <color theme="1"/>
        <name val="Calibri"/>
        <scheme val="minor"/>
      </font>
      <numFmt numFmtId="179" formatCode="#0.00\ &quot;Kg de DVE&quot;"/>
      <fill>
        <patternFill patternType="solid">
          <fgColor indexed="64"/>
          <bgColor rgb="FF92D050"/>
        </patternFill>
      </fill>
      <alignment horizontal="center" vertical="bottom" textRotation="0" wrapText="0" indent="0" justifyLastLine="0" shrinkToFit="0" readingOrder="0"/>
      <protection locked="1" hidden="0"/>
    </dxf>
    <dxf>
      <numFmt numFmtId="178" formatCode="#0.00\ &quot;Kg de DVE/T de MS&quot;"/>
    </dxf>
    <dxf>
      <font>
        <b val="0"/>
        <i val="0"/>
        <strike val="0"/>
        <condense val="0"/>
        <extend val="0"/>
        <outline val="0"/>
        <shadow val="0"/>
        <u val="none"/>
        <vertAlign val="baseline"/>
        <sz val="14"/>
        <color theme="1"/>
        <name val="Calibri"/>
        <scheme val="minor"/>
      </font>
      <numFmt numFmtId="166" formatCode="#0.00\ &quot;VEM&quot;"/>
      <fill>
        <patternFill patternType="solid">
          <fgColor indexed="64"/>
          <bgColor rgb="FF92D050"/>
        </patternFill>
      </fill>
      <alignment horizontal="center" vertical="bottom" textRotation="0" wrapText="0" indent="0" justifyLastLine="0" shrinkToFit="0" readingOrder="0"/>
      <protection locked="1" hidden="0"/>
    </dxf>
    <dxf>
      <numFmt numFmtId="195" formatCode="#0.00\ &quot;VEM/kg de MS&quot;"/>
    </dxf>
    <dxf>
      <numFmt numFmtId="165" formatCode="#0.00\ &quot;T&quot;"/>
    </dxf>
    <dxf>
      <border diagonalUp="0" diagonalDown="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20"/>
        <color auto="1"/>
        <name val="Calibri"/>
        <scheme val="minor"/>
      </font>
      <fill>
        <patternFill patternType="solid">
          <fgColor indexed="64"/>
          <bgColor rgb="FFF0AC62"/>
        </patternFill>
      </fill>
      <alignment horizontal="center" vertical="bottom" textRotation="0" wrapText="1" indent="0" justifyLastLine="0" shrinkToFit="0" readingOrder="0"/>
      <border diagonalUp="0" diagonalDown="0" outline="0">
        <left style="thin">
          <color auto="1"/>
        </left>
        <right style="thin">
          <color auto="1"/>
        </right>
        <top/>
        <bottom/>
      </border>
    </dxf>
    <dxf>
      <numFmt numFmtId="174" formatCode="#0.00\ &quot;€/T&quot;"/>
      <protection locked="1" hidden="0"/>
    </dxf>
    <dxf>
      <numFmt numFmtId="174" formatCode="#0.00\ &quot;€/T&quot;"/>
    </dxf>
    <dxf>
      <font>
        <b val="0"/>
        <i val="0"/>
        <strike val="0"/>
        <condense val="0"/>
        <extend val="0"/>
        <outline val="0"/>
        <shadow val="0"/>
        <u val="none"/>
        <vertAlign val="baseline"/>
        <sz val="14"/>
        <color theme="1"/>
        <name val="Calibri"/>
        <scheme val="minor"/>
      </font>
      <numFmt numFmtId="179" formatCode="#0.00\ &quot;Kg de DVE&quot;"/>
      <fill>
        <patternFill patternType="solid">
          <fgColor indexed="64"/>
          <bgColor rgb="FF92D050"/>
        </patternFill>
      </fill>
      <alignment horizontal="center" vertical="bottom" textRotation="0" wrapText="0" indent="0" justifyLastLine="0" shrinkToFit="0" readingOrder="0"/>
      <protection locked="1" hidden="0"/>
    </dxf>
    <dxf>
      <numFmt numFmtId="178" formatCode="#0.00\ &quot;Kg de DVE/T de MS&quot;"/>
    </dxf>
    <dxf>
      <font>
        <b val="0"/>
        <i val="0"/>
        <strike val="0"/>
        <condense val="0"/>
        <extend val="0"/>
        <outline val="0"/>
        <shadow val="0"/>
        <u val="none"/>
        <vertAlign val="baseline"/>
        <sz val="14"/>
        <color theme="1"/>
        <name val="Calibri"/>
        <scheme val="minor"/>
      </font>
      <numFmt numFmtId="166" formatCode="#0.00\ &quot;VEM&quot;"/>
      <fill>
        <patternFill patternType="solid">
          <fgColor indexed="64"/>
          <bgColor rgb="FF92D050"/>
        </patternFill>
      </fill>
      <alignment horizontal="center" vertical="bottom" textRotation="0" wrapText="0" indent="0" justifyLastLine="0" shrinkToFit="0" readingOrder="0"/>
      <protection locked="1" hidden="0"/>
    </dxf>
    <dxf>
      <numFmt numFmtId="195" formatCode="#0.00\ &quot;VEM/kg de MS&quot;"/>
    </dxf>
    <dxf>
      <numFmt numFmtId="165" formatCode="#0.00\ &quot;T&quot;"/>
    </dxf>
    <dxf>
      <border diagonalUp="0" diagonalDown="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20"/>
        <color auto="1"/>
        <name val="Calibri"/>
        <scheme val="minor"/>
      </font>
      <fill>
        <patternFill patternType="solid">
          <fgColor indexed="64"/>
          <bgColor rgb="FFF0AC62"/>
        </patternFill>
      </fill>
      <alignment horizontal="center" vertical="bottom" textRotation="0" wrapText="0" indent="0" justifyLastLine="0" shrinkToFit="0" readingOrder="0"/>
      <border diagonalUp="0" diagonalDown="0" outline="0">
        <left style="thin">
          <color auto="1"/>
        </left>
        <right style="thin">
          <color auto="1"/>
        </right>
        <top/>
        <bottom/>
      </border>
    </dxf>
    <dxf>
      <numFmt numFmtId="174" formatCode="#0.00\ &quot;€/T&quot;"/>
      <protection locked="1" hidden="0"/>
    </dxf>
    <dxf>
      <numFmt numFmtId="174" formatCode="#0.00\ &quot;€/T&quot;"/>
    </dxf>
    <dxf>
      <font>
        <b val="0"/>
        <i val="0"/>
        <strike val="0"/>
        <condense val="0"/>
        <extend val="0"/>
        <outline val="0"/>
        <shadow val="0"/>
        <u val="none"/>
        <vertAlign val="baseline"/>
        <sz val="14"/>
        <color theme="1"/>
        <name val="Calibri"/>
        <scheme val="minor"/>
      </font>
      <numFmt numFmtId="179" formatCode="#0.00\ &quot;Kg de DVE&quot;"/>
      <fill>
        <patternFill patternType="solid">
          <fgColor indexed="64"/>
          <bgColor theme="7" tint="0.59999389629810485"/>
        </patternFill>
      </fill>
      <alignment horizontal="center" vertical="bottom" textRotation="0" wrapText="0" indent="0" justifyLastLine="0" shrinkToFit="0" readingOrder="0"/>
      <protection locked="1" hidden="0"/>
    </dxf>
    <dxf>
      <numFmt numFmtId="178" formatCode="#0.00\ &quot;Kg de DVE/T de MS&quot;"/>
    </dxf>
    <dxf>
      <font>
        <b val="0"/>
        <i val="0"/>
        <strike val="0"/>
        <condense val="0"/>
        <extend val="0"/>
        <outline val="0"/>
        <shadow val="0"/>
        <u val="none"/>
        <vertAlign val="baseline"/>
        <sz val="14"/>
        <color theme="1"/>
        <name val="Calibri"/>
        <scheme val="minor"/>
      </font>
      <numFmt numFmtId="166" formatCode="#0.00\ &quot;VEM&quot;"/>
      <fill>
        <patternFill patternType="solid">
          <fgColor indexed="64"/>
          <bgColor rgb="FF92D050"/>
        </patternFill>
      </fill>
      <alignment horizontal="center" vertical="bottom" textRotation="0" wrapText="0" indent="0" justifyLastLine="0" shrinkToFit="0" readingOrder="0"/>
      <protection locked="1" hidden="0"/>
    </dxf>
    <dxf>
      <numFmt numFmtId="195" formatCode="#0.00\ &quot;VEM/kg de MS&quot;"/>
    </dxf>
    <dxf>
      <numFmt numFmtId="165" formatCode="#0.00\ &quot;T&quot;"/>
    </dxf>
    <dxf>
      <border diagonalUp="0" diagonalDown="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20"/>
        <color auto="1"/>
        <name val="Calibri"/>
        <scheme val="minor"/>
      </font>
      <fill>
        <patternFill patternType="solid">
          <fgColor indexed="64"/>
          <bgColor rgb="FFF0AC62"/>
        </patternFill>
      </fill>
      <alignment horizontal="center" vertical="bottom" textRotation="0" wrapText="0" indent="0" justifyLastLine="0" shrinkToFit="0" readingOrder="0"/>
      <border diagonalUp="0" diagonalDown="0" outline="0">
        <left style="thin">
          <color auto="1"/>
        </left>
        <right style="thin">
          <color auto="1"/>
        </right>
        <top/>
        <bottom/>
      </border>
    </dxf>
    <dxf>
      <numFmt numFmtId="175" formatCode="#,##0.00\ &quot;€&quot;"/>
      <protection locked="1" hidden="0"/>
    </dxf>
    <dxf>
      <numFmt numFmtId="174" formatCode="#0.00\ &quot;€/T&quot;"/>
    </dxf>
    <dxf>
      <font>
        <b val="0"/>
        <i val="0"/>
        <strike val="0"/>
        <condense val="0"/>
        <extend val="0"/>
        <outline val="0"/>
        <shadow val="0"/>
        <u val="none"/>
        <vertAlign val="baseline"/>
        <sz val="14"/>
        <color theme="1"/>
        <name val="Calibri"/>
        <scheme val="minor"/>
      </font>
      <numFmt numFmtId="179" formatCode="#0.00\ &quot;Kg de DVE&quot;"/>
      <fill>
        <patternFill patternType="solid">
          <fgColor indexed="64"/>
          <bgColor rgb="FF92D050"/>
        </patternFill>
      </fill>
      <alignment horizontal="center" vertical="bottom" textRotation="0" wrapText="0" indent="0" justifyLastLine="0" shrinkToFit="0" readingOrder="0"/>
      <protection locked="1" hidden="0"/>
    </dxf>
    <dxf>
      <numFmt numFmtId="178" formatCode="#0.00\ &quot;Kg de DVE/T de MS&quot;"/>
    </dxf>
    <dxf>
      <font>
        <b val="0"/>
        <i val="0"/>
        <strike val="0"/>
        <condense val="0"/>
        <extend val="0"/>
        <outline val="0"/>
        <shadow val="0"/>
        <u val="none"/>
        <vertAlign val="baseline"/>
        <sz val="14"/>
        <color theme="1"/>
        <name val="Calibri"/>
        <scheme val="minor"/>
      </font>
      <numFmt numFmtId="166" formatCode="#0.00\ &quot;VEM&quot;"/>
      <fill>
        <patternFill patternType="solid">
          <fgColor indexed="64"/>
          <bgColor rgb="FF92D050"/>
        </patternFill>
      </fill>
      <alignment horizontal="center" vertical="bottom" textRotation="0" wrapText="0" indent="0" justifyLastLine="0" shrinkToFit="0" readingOrder="0"/>
      <protection locked="1" hidden="0"/>
    </dxf>
    <dxf>
      <numFmt numFmtId="195" formatCode="#0.00\ &quot;VEM/kg de MS&quot;"/>
    </dxf>
    <dxf>
      <numFmt numFmtId="165" formatCode="#0.00\ &quot;T&quot;"/>
    </dxf>
    <dxf>
      <border diagonalUp="0" diagonalDown="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20"/>
        <color auto="1"/>
        <name val="Calibri"/>
        <scheme val="minor"/>
      </font>
      <fill>
        <patternFill patternType="solid">
          <fgColor indexed="64"/>
          <bgColor rgb="FFF0AC62"/>
        </patternFill>
      </fill>
      <alignment horizontal="center" vertical="bottom"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4"/>
        <color theme="1"/>
        <name val="Calibri"/>
        <scheme val="minor"/>
      </font>
      <numFmt numFmtId="0" formatCode="General"/>
      <fill>
        <patternFill patternType="solid">
          <fgColor indexed="64"/>
          <bgColor theme="0" tint="-0.34998626667073579"/>
        </patternFill>
      </fill>
      <alignment horizontal="center" vertical="bottom" textRotation="0" wrapText="0" indent="0" justifyLastLine="0" shrinkToFit="0" readingOrder="0"/>
      <border diagonalUp="0" diagonalDown="0">
        <left style="thin">
          <color auto="1"/>
        </left>
        <right/>
        <top style="thin">
          <color auto="1"/>
        </top>
        <bottom style="medium">
          <color indexed="64"/>
        </bottom>
        <vertical/>
        <horizontal/>
      </border>
    </dxf>
    <dxf>
      <font>
        <b val="0"/>
        <i val="0"/>
        <strike val="0"/>
        <condense val="0"/>
        <extend val="0"/>
        <outline val="0"/>
        <shadow val="0"/>
        <u val="none"/>
        <vertAlign val="baseline"/>
        <sz val="14"/>
        <color theme="1"/>
        <name val="Calibri"/>
        <scheme val="minor"/>
      </font>
      <numFmt numFmtId="0" formatCode="General"/>
      <fill>
        <patternFill patternType="solid">
          <fgColor indexed="64"/>
          <bgColor theme="0" tint="-0.34998626667073579"/>
        </patternFill>
      </fill>
      <alignment horizontal="center" vertical="bottom" textRotation="0" wrapText="0" indent="0" justifyLastLine="0" shrinkToFit="0" readingOrder="0"/>
      <border diagonalUp="0" diagonalDown="0">
        <left style="thin">
          <color auto="1"/>
        </left>
        <right style="thin">
          <color auto="1"/>
        </right>
        <top style="thin">
          <color auto="1"/>
        </top>
        <bottom style="medium">
          <color indexed="64"/>
        </bottom>
        <vertical/>
        <horizontal/>
      </border>
    </dxf>
    <dxf>
      <font>
        <b val="0"/>
        <i val="0"/>
        <strike val="0"/>
        <condense val="0"/>
        <extend val="0"/>
        <outline val="0"/>
        <shadow val="0"/>
        <u val="none"/>
        <vertAlign val="baseline"/>
        <sz val="14"/>
        <color theme="1"/>
        <name val="Calibri"/>
        <scheme val="minor"/>
      </font>
      <numFmt numFmtId="175" formatCode="#,##0.00\ &quot;€&quot;"/>
      <fill>
        <patternFill patternType="solid">
          <fgColor indexed="64"/>
          <bgColor rgb="FF92D050"/>
        </patternFill>
      </fill>
      <alignment horizontal="center" vertical="bottom" textRotation="0" wrapText="0" indent="0" justifyLastLine="0" shrinkToFit="0" readingOrder="0"/>
      <border diagonalUp="0" diagonalDown="0">
        <left style="thin">
          <color auto="1"/>
        </left>
        <right style="thin">
          <color auto="1"/>
        </right>
        <top style="thin">
          <color auto="1"/>
        </top>
        <bottom style="medium">
          <color indexed="64"/>
        </bottom>
        <vertical/>
        <horizontal/>
      </border>
    </dxf>
    <dxf>
      <font>
        <b val="0"/>
        <i val="0"/>
        <strike val="0"/>
        <condense val="0"/>
        <extend val="0"/>
        <outline val="0"/>
        <shadow val="0"/>
        <u val="none"/>
        <vertAlign val="baseline"/>
        <sz val="14"/>
        <color theme="1"/>
        <name val="Calibri"/>
        <scheme val="minor"/>
      </font>
      <fill>
        <patternFill patternType="solid">
          <fgColor indexed="64"/>
          <bgColor theme="0" tint="-0.249977111117893"/>
        </patternFill>
      </fill>
      <border diagonalUp="0" diagonalDown="0">
        <left/>
        <right style="thin">
          <color auto="1"/>
        </right>
        <top style="thin">
          <color auto="1"/>
        </top>
        <bottom style="medium">
          <color indexed="64"/>
        </bottom>
        <vertical/>
        <horizontal/>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6"/>
        <color auto="1"/>
        <name val="Calibri"/>
        <scheme val="minor"/>
      </font>
      <fill>
        <patternFill patternType="solid">
          <fgColor indexed="64"/>
          <bgColor rgb="FFF0AC62"/>
        </patternFill>
      </fill>
      <alignment horizontal="center" vertical="bottom" textRotation="0" wrapText="0" indent="0" justifyLastLine="0" shrinkToFit="0" readingOrder="0"/>
      <border diagonalUp="0" diagonalDown="0" outline="0">
        <left style="thin">
          <color auto="1"/>
        </left>
        <right style="thin">
          <color auto="1"/>
        </right>
        <top/>
        <bottom/>
      </border>
    </dxf>
    <dxf>
      <fill>
        <patternFill patternType="solid">
          <fgColor indexed="64"/>
          <bgColor theme="0" tint="-0.249977111117893"/>
        </patternFill>
      </fill>
      <alignment horizontal="center" vertical="bottom" textRotation="0" wrapText="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ill>
        <patternFill patternType="solid">
          <fgColor indexed="64"/>
          <bgColor theme="0" tint="-0.249977111117893"/>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solid">
          <fgColor indexed="64"/>
          <bgColor rgb="FF92D050"/>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diagonalUp="0" diagonalDown="0">
        <left style="medium">
          <color indexed="64"/>
        </left>
        <right style="medium">
          <color indexed="64"/>
        </right>
        <top style="medium">
          <color indexed="64"/>
        </top>
        <bottom style="medium">
          <color indexed="64"/>
        </bottom>
      </border>
    </dxf>
    <dxf>
      <border>
        <bottom style="medium">
          <color indexed="64"/>
        </bottom>
      </border>
    </dxf>
    <dxf>
      <font>
        <strike val="0"/>
        <outline val="0"/>
        <shadow val="0"/>
        <u val="none"/>
        <vertAlign val="baseline"/>
        <sz val="16"/>
        <color auto="1"/>
        <name val="Calibri"/>
        <scheme val="minor"/>
      </font>
      <fill>
        <patternFill patternType="solid">
          <fgColor indexed="64"/>
          <bgColor rgb="FFF0AC62"/>
        </patternFill>
      </fill>
      <border diagonalUp="0" diagonalDown="0" outline="0">
        <left style="thin">
          <color auto="1"/>
        </left>
        <right style="thin">
          <color auto="1"/>
        </right>
        <top/>
        <bottom/>
      </border>
    </dxf>
    <dxf>
      <font>
        <b val="0"/>
        <i val="0"/>
        <strike val="0"/>
        <condense val="0"/>
        <extend val="0"/>
        <outline val="0"/>
        <shadow val="0"/>
        <u val="none"/>
        <vertAlign val="baseline"/>
        <sz val="14"/>
        <color theme="1"/>
        <name val="Calibri"/>
        <scheme val="minor"/>
      </font>
      <numFmt numFmtId="2" formatCode="0.00"/>
      <fill>
        <patternFill patternType="solid">
          <fgColor indexed="64"/>
          <bgColor theme="0" tint="-0.34998626667073579"/>
        </patternFill>
      </fill>
      <alignment horizontal="center" vertical="bottom" textRotation="0" wrapText="0" indent="0" justifyLastLine="0" shrinkToFit="0" readingOrder="0"/>
    </dxf>
    <dxf>
      <font>
        <b val="0"/>
        <i val="0"/>
        <strike val="0"/>
        <condense val="0"/>
        <extend val="0"/>
        <outline val="0"/>
        <shadow val="0"/>
        <u val="none"/>
        <vertAlign val="baseline"/>
        <sz val="14"/>
        <color theme="1"/>
        <name val="Calibri"/>
        <scheme val="minor"/>
      </font>
      <numFmt numFmtId="2" formatCode="0.00"/>
      <fill>
        <patternFill patternType="solid">
          <fgColor indexed="64"/>
          <bgColor theme="0" tint="-0.34998626667073579"/>
        </patternFill>
      </fill>
      <alignment horizontal="center" vertical="bottom" textRotation="0" wrapText="0" indent="0" justifyLastLine="0" shrinkToFit="0" readingOrder="0"/>
    </dxf>
    <dxf>
      <font>
        <b val="0"/>
        <i val="0"/>
        <strike val="0"/>
        <condense val="0"/>
        <extend val="0"/>
        <outline val="0"/>
        <shadow val="0"/>
        <u val="none"/>
        <vertAlign val="baseline"/>
        <sz val="14"/>
        <color theme="1"/>
        <name val="Calibri"/>
        <scheme val="minor"/>
      </font>
      <numFmt numFmtId="2" formatCode="0.00"/>
      <fill>
        <patternFill patternType="solid">
          <fgColor indexed="64"/>
          <bgColor theme="0" tint="-0.34998626667073579"/>
        </patternFill>
      </fill>
      <alignment horizontal="center" vertical="bottom" textRotation="0" wrapText="0" indent="0" justifyLastLine="0" shrinkToFit="0" readingOrder="0"/>
    </dxf>
    <dxf>
      <font>
        <b val="0"/>
        <i val="0"/>
        <strike val="0"/>
        <condense val="0"/>
        <extend val="0"/>
        <outline val="0"/>
        <shadow val="0"/>
        <u val="none"/>
        <vertAlign val="baseline"/>
        <sz val="14"/>
        <color theme="1"/>
        <name val="Calibri"/>
        <scheme val="minor"/>
      </font>
      <numFmt numFmtId="2" formatCode="0.00"/>
      <fill>
        <patternFill patternType="solid">
          <fgColor indexed="64"/>
          <bgColor theme="0" tint="-0.34998626667073579"/>
        </patternFill>
      </fill>
      <alignment horizontal="center" vertical="bottom" textRotation="0" wrapText="0" indent="0" justifyLastLine="0" shrinkToFit="0" readingOrder="0"/>
    </dxf>
    <dxf>
      <font>
        <b val="0"/>
        <i val="0"/>
        <strike val="0"/>
        <condense val="0"/>
        <extend val="0"/>
        <outline val="0"/>
        <shadow val="0"/>
        <u val="none"/>
        <vertAlign val="baseline"/>
        <sz val="14"/>
        <color theme="1"/>
        <name val="Calibri"/>
        <scheme val="minor"/>
      </font>
      <numFmt numFmtId="2" formatCode="0.00"/>
      <fill>
        <patternFill patternType="solid">
          <fgColor indexed="64"/>
          <bgColor theme="0" tint="-0.34998626667073579"/>
        </patternFill>
      </fill>
      <alignment horizontal="center" vertical="bottom" textRotation="0" wrapText="0" indent="0" justifyLastLine="0" shrinkToFit="0" readingOrder="0"/>
    </dxf>
    <dxf>
      <font>
        <b val="0"/>
        <i val="0"/>
        <strike val="0"/>
        <condense val="0"/>
        <extend val="0"/>
        <outline val="0"/>
        <shadow val="0"/>
        <u val="none"/>
        <vertAlign val="baseline"/>
        <sz val="14"/>
        <color theme="1"/>
        <name val="Calibri"/>
        <scheme val="minor"/>
      </font>
      <fill>
        <patternFill patternType="solid">
          <fgColor indexed="64"/>
          <bgColor rgb="FF92D050"/>
        </patternFill>
      </fill>
      <alignment horizontal="center" vertical="bottom" textRotation="0" wrapText="0" indent="0" justifyLastLine="0" shrinkToFit="0" readingOrder="0"/>
    </dxf>
    <dxf>
      <font>
        <b val="0"/>
        <i val="0"/>
        <strike val="0"/>
        <condense val="0"/>
        <extend val="0"/>
        <outline val="0"/>
        <shadow val="0"/>
        <u val="none"/>
        <vertAlign val="baseline"/>
        <sz val="14"/>
        <color theme="1"/>
        <name val="Calibri"/>
        <scheme val="minor"/>
      </font>
      <fill>
        <patternFill patternType="solid">
          <fgColor indexed="64"/>
          <bgColor theme="0" tint="-0.34998626667073579"/>
        </patternFill>
      </fill>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6"/>
        <color auto="1"/>
        <name val="Calibri"/>
        <scheme val="minor"/>
      </font>
      <fill>
        <patternFill patternType="solid">
          <fgColor indexed="64"/>
          <bgColor rgb="FFF0AC62"/>
        </patternFill>
      </fill>
      <alignment horizontal="center" vertical="bottom" textRotation="0" wrapText="0" indent="0" justifyLastLine="0" shrinkToFit="0" readingOrder="0"/>
      <border diagonalUp="0" diagonalDown="0">
        <left style="thin">
          <color auto="1"/>
        </left>
        <right style="thin">
          <color auto="1"/>
        </right>
        <top/>
        <bottom/>
      </border>
      <protection locked="1" hidden="0"/>
    </dxf>
    <dxf>
      <font>
        <b val="0"/>
        <i val="0"/>
        <strike val="0"/>
        <condense val="0"/>
        <extend val="0"/>
        <outline val="0"/>
        <shadow val="0"/>
        <u val="none"/>
        <vertAlign val="baseline"/>
        <sz val="14"/>
        <color theme="1"/>
        <name val="Calibri"/>
        <scheme val="minor"/>
      </font>
      <numFmt numFmtId="2" formatCode="0.00"/>
      <fill>
        <patternFill patternType="solid">
          <fgColor indexed="64"/>
          <bgColor theme="0" tint="-0.34998626667073579"/>
        </patternFill>
      </fill>
      <alignment horizontal="center" vertical="bottom" textRotation="0" wrapText="0"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14"/>
        <color theme="1"/>
        <name val="Calibri"/>
        <scheme val="minor"/>
      </font>
      <numFmt numFmtId="2" formatCode="0.00"/>
      <fill>
        <patternFill patternType="solid">
          <fgColor indexed="64"/>
          <bgColor theme="0" tint="-0.34998626667073579"/>
        </patternFill>
      </fill>
      <alignment horizontal="center" vertical="bottom" textRotation="0" wrapText="0"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14"/>
        <color theme="1"/>
        <name val="Calibri"/>
        <scheme val="minor"/>
      </font>
      <numFmt numFmtId="2" formatCode="0.00"/>
      <fill>
        <patternFill patternType="solid">
          <fgColor indexed="64"/>
          <bgColor theme="0" tint="-0.34998626667073579"/>
        </patternFill>
      </fill>
      <alignment horizontal="center" vertical="bottom" textRotation="0" wrapText="0"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14"/>
        <color theme="1"/>
        <name val="Calibri"/>
        <scheme val="minor"/>
      </font>
      <numFmt numFmtId="2" formatCode="0.00"/>
      <fill>
        <patternFill patternType="solid">
          <fgColor indexed="64"/>
          <bgColor theme="0" tint="-0.34998626667073579"/>
        </patternFill>
      </fill>
      <alignment horizontal="center" vertical="bottom" textRotation="0" wrapText="0"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14"/>
        <color theme="1"/>
        <name val="Calibri"/>
        <scheme val="minor"/>
      </font>
      <numFmt numFmtId="2" formatCode="0.00"/>
      <fill>
        <patternFill patternType="solid">
          <fgColor indexed="64"/>
          <bgColor theme="0" tint="-0.34998626667073579"/>
        </patternFill>
      </fill>
      <alignment horizontal="center" vertical="bottom" textRotation="0" wrapText="0"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14"/>
        <color theme="1"/>
        <name val="Calibri"/>
        <scheme val="minor"/>
      </font>
      <fill>
        <patternFill patternType="solid">
          <fgColor indexed="64"/>
          <bgColor rgb="FF92D050"/>
        </patternFill>
      </fill>
      <alignment horizontal="center" vertical="bottom" textRotation="0" wrapText="0"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14"/>
        <color theme="1"/>
        <name val="Calibri"/>
        <scheme val="minor"/>
      </font>
      <fill>
        <patternFill patternType="solid">
          <fgColor indexed="64"/>
          <bgColor theme="0" tint="-0.34998626667073579"/>
        </patternFill>
      </fill>
      <border diagonalUp="0" diagonalDown="0">
        <left/>
        <right/>
        <top style="medium">
          <color auto="1"/>
        </top>
        <bottom style="medium">
          <color auto="1"/>
        </bottom>
        <vertical/>
        <horizontal style="medium">
          <color auto="1"/>
        </horizontal>
      </border>
    </dxf>
    <dxf>
      <border outline="0">
        <left style="medium">
          <color indexed="64"/>
        </left>
        <right style="medium">
          <color indexed="64"/>
        </right>
        <top style="medium">
          <color indexed="64"/>
        </top>
        <bottom style="medium">
          <color indexed="64"/>
        </bottom>
      </border>
    </dxf>
    <dxf>
      <border>
        <bottom style="medium">
          <color indexed="64"/>
        </bottom>
      </border>
    </dxf>
    <dxf>
      <font>
        <b/>
        <i val="0"/>
        <strike val="0"/>
        <condense val="0"/>
        <extend val="0"/>
        <outline val="0"/>
        <shadow val="0"/>
        <u val="none"/>
        <vertAlign val="baseline"/>
        <sz val="16"/>
        <color auto="1"/>
        <name val="Calibri"/>
        <scheme val="minor"/>
      </font>
      <fill>
        <patternFill patternType="solid">
          <fgColor indexed="64"/>
          <bgColor rgb="FFF0AC62"/>
        </patternFill>
      </fill>
      <alignment horizontal="center" vertical="bottom" textRotation="0" wrapText="0" indent="0" justifyLastLine="0" shrinkToFit="0" readingOrder="0"/>
      <border diagonalUp="0" diagonalDown="0">
        <left style="medium">
          <color auto="1"/>
        </left>
        <right style="medium">
          <color auto="1"/>
        </right>
        <top/>
        <bottom/>
        <vertical style="medium">
          <color auto="1"/>
        </vertical>
        <horizontal/>
      </border>
    </dxf>
    <dxf>
      <font>
        <b val="0"/>
        <i val="0"/>
        <strike val="0"/>
        <condense val="0"/>
        <extend val="0"/>
        <outline val="0"/>
        <shadow val="0"/>
        <u val="none"/>
        <vertAlign val="baseline"/>
        <sz val="14"/>
        <color theme="1"/>
        <name val="Calibri"/>
        <scheme val="minor"/>
      </font>
      <numFmt numFmtId="2" formatCode="0.00"/>
      <fill>
        <patternFill patternType="solid">
          <fgColor indexed="64"/>
          <bgColor theme="0" tint="-0.34998626667073579"/>
        </patternFill>
      </fill>
      <alignment horizontal="center" vertical="bottom"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4"/>
        <color theme="1"/>
        <name val="Calibri"/>
        <scheme val="minor"/>
      </font>
      <numFmt numFmtId="2" formatCode="0.00"/>
      <fill>
        <patternFill patternType="solid">
          <fgColor indexed="64"/>
          <bgColor theme="0" tint="-0.34998626667073579"/>
        </patternFill>
      </fill>
      <alignment horizontal="center" vertical="bottom" textRotation="0" wrapText="0" indent="0" justifyLastLine="0" shrinkToFit="0" readingOrder="0"/>
      <border diagonalUp="0" diagonalDown="0">
        <left/>
        <right style="thin">
          <color auto="1"/>
        </right>
        <top style="thin">
          <color auto="1"/>
        </top>
        <bottom style="thin">
          <color auto="1"/>
        </bottom>
        <vertical/>
        <horizontal/>
      </border>
    </dxf>
    <dxf>
      <font>
        <b val="0"/>
        <i val="0"/>
        <strike val="0"/>
        <condense val="0"/>
        <extend val="0"/>
        <outline val="0"/>
        <shadow val="0"/>
        <u val="none"/>
        <vertAlign val="baseline"/>
        <sz val="14"/>
        <color theme="1"/>
        <name val="Calibri"/>
        <scheme val="minor"/>
      </font>
      <numFmt numFmtId="2" formatCode="0.00"/>
      <fill>
        <patternFill patternType="solid">
          <fgColor indexed="64"/>
          <bgColor theme="0" tint="-0.34998626667073579"/>
        </patternFill>
      </fill>
      <alignment horizontal="center" vertical="bottom"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4"/>
        <color theme="1"/>
        <name val="Calibri"/>
        <scheme val="minor"/>
      </font>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4"/>
        <color theme="1"/>
        <name val="Calibri"/>
        <scheme val="minor"/>
      </font>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4"/>
        <color theme="1"/>
        <name val="Calibri"/>
        <scheme val="minor"/>
      </font>
      <alignment horizontal="center" vertical="bottom"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4"/>
        <color theme="1"/>
        <name val="Calibri"/>
        <scheme val="minor"/>
      </font>
      <numFmt numFmtId="2" formatCode="0.00"/>
      <fill>
        <patternFill patternType="solid">
          <fgColor indexed="64"/>
          <bgColor rgb="FF92D050"/>
        </patternFill>
      </fill>
      <alignment horizontal="center" vertical="bottom"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4"/>
        <color theme="1"/>
        <name val="Calibri"/>
        <scheme val="minor"/>
      </font>
      <numFmt numFmtId="2" formatCode="0.00"/>
      <fill>
        <patternFill patternType="solid">
          <fgColor indexed="64"/>
          <bgColor theme="0" tint="-0.34998626667073579"/>
        </patternFill>
      </fill>
      <alignment horizontal="center" vertical="bottom"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4"/>
        <color auto="1"/>
        <name val="Calibri"/>
        <scheme val="minor"/>
      </font>
      <numFmt numFmtId="2" formatCode="0.00"/>
      <fill>
        <patternFill patternType="solid">
          <fgColor indexed="64"/>
          <bgColor theme="0" tint="-0.34998626667073579"/>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4"/>
        <color theme="1"/>
        <name val="Calibri"/>
        <scheme val="minor"/>
      </font>
      <fill>
        <patternFill patternType="solid">
          <fgColor indexed="64"/>
          <bgColor rgb="FF92D050"/>
        </patternFill>
      </fill>
      <alignment horizontal="center" vertical="bottom"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4"/>
        <color theme="1"/>
        <name val="Calibri"/>
        <scheme val="minor"/>
      </font>
      <fill>
        <patternFill patternType="solid">
          <fgColor indexed="64"/>
          <bgColor theme="0" tint="-0.34998626667073579"/>
        </patternFill>
      </fill>
      <border diagonalUp="0" diagonalDown="0">
        <left/>
        <right style="thin">
          <color auto="1"/>
        </right>
        <top style="thin">
          <color auto="1"/>
        </top>
        <bottom/>
        <vertical/>
        <horizontal/>
      </border>
    </dxf>
    <dxf>
      <border outline="0">
        <left style="medium">
          <color indexed="64"/>
        </left>
        <right style="medium">
          <color indexed="64"/>
        </right>
        <bottom style="medium">
          <color indexed="64"/>
        </bottom>
      </border>
    </dxf>
    <dxf>
      <border outline="0">
        <bottom style="medium">
          <color indexed="64"/>
        </bottom>
      </border>
    </dxf>
    <dxf>
      <font>
        <b/>
        <i val="0"/>
        <strike val="0"/>
        <condense val="0"/>
        <extend val="0"/>
        <outline val="0"/>
        <shadow val="0"/>
        <u val="none"/>
        <vertAlign val="baseline"/>
        <sz val="16"/>
        <color auto="1"/>
        <name val="Calibri"/>
        <scheme val="minor"/>
      </font>
      <fill>
        <patternFill patternType="solid">
          <fgColor indexed="64"/>
          <bgColor rgb="FFF0AC62"/>
        </patternFill>
      </fill>
      <alignment horizontal="center" vertical="bottom" textRotation="0" wrapText="0" indent="0" justifyLastLine="0" shrinkToFit="0" readingOrder="0"/>
      <border diagonalUp="0" diagonalDown="0" outline="0">
        <left style="thin">
          <color auto="1"/>
        </left>
        <right style="thin">
          <color auto="1"/>
        </right>
        <top/>
        <bottom/>
      </border>
    </dxf>
    <dxf>
      <numFmt numFmtId="178" formatCode="#0.00\ &quot;Kg de DVE/T de MS&quot;"/>
      <border diagonalUp="0" diagonalDown="0">
        <left style="medium">
          <color indexed="64"/>
        </left>
        <right style="medium">
          <color indexed="64"/>
        </right>
        <vertical/>
      </border>
      <protection locked="1" hidden="0"/>
    </dxf>
    <dxf>
      <numFmt numFmtId="178" formatCode="#0.00\ &quot;Kg de DVE/T de MS&quot;"/>
    </dxf>
    <dxf>
      <font>
        <b val="0"/>
        <i val="0"/>
        <strike val="0"/>
        <condense val="0"/>
        <extend val="0"/>
        <outline val="0"/>
        <shadow val="0"/>
        <u val="none"/>
        <vertAlign val="baseline"/>
        <sz val="14"/>
        <color theme="1"/>
        <name val="Calibri"/>
        <scheme val="minor"/>
      </font>
      <numFmt numFmtId="177" formatCode="#0.00\ &quot;VEM/T de MS&quot;"/>
      <fill>
        <patternFill patternType="solid">
          <fgColor indexed="64"/>
          <bgColor rgb="FF92D050"/>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numFmt numFmtId="177" formatCode="#0.00\ &quot;VEM/T de MS&quot;"/>
    </dxf>
    <dxf>
      <numFmt numFmtId="165" formatCode="#0.00\ &quot;T&quot;"/>
    </dxf>
    <dxf>
      <border diagonalUp="0" diagonalDown="0">
        <left style="medium">
          <color indexed="64"/>
        </left>
        <right style="medium">
          <color indexed="64"/>
        </right>
        <vertical/>
      </border>
    </dxf>
    <dxf>
      <border diagonalUp="0" diagonalDown="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6"/>
        <color auto="1"/>
        <name val="Calibri"/>
        <scheme val="minor"/>
      </font>
      <fill>
        <patternFill patternType="solid">
          <fgColor indexed="64"/>
          <bgColor rgb="FFF0AC62"/>
        </patternFill>
      </fill>
      <alignment horizontal="general" vertical="center" textRotation="0" wrapText="0" indent="0" justifyLastLine="0" shrinkToFit="0" readingOrder="0"/>
      <border diagonalUp="0" diagonalDown="0" outline="0">
        <left style="thin">
          <color auto="1"/>
        </left>
        <right style="thin">
          <color auto="1"/>
        </right>
        <top/>
        <bottom/>
      </border>
    </dxf>
    <dxf>
      <font>
        <strike val="0"/>
        <outline val="0"/>
        <shadow val="0"/>
        <u val="none"/>
        <vertAlign val="baseline"/>
        <sz val="14"/>
        <name val="Calibri"/>
        <scheme val="minor"/>
      </font>
      <numFmt numFmtId="165" formatCode="#0.00\ &quot;T&quot;"/>
      <fill>
        <patternFill patternType="solid">
          <fgColor indexed="64"/>
          <bgColor theme="7" tint="0.59999389629810485"/>
        </patternFill>
      </fill>
      <alignment horizontal="left" vertical="center" textRotation="0" wrapText="0" indent="0" justifyLastLine="0" shrinkToFit="0" readingOrder="0"/>
      <border diagonalUp="0" diagonalDown="0">
        <left style="thin">
          <color auto="1"/>
        </left>
        <right style="medium">
          <color indexed="64"/>
        </right>
        <top style="thin">
          <color auto="1"/>
        </top>
        <bottom style="thin">
          <color auto="1"/>
        </bottom>
      </border>
    </dxf>
    <dxf>
      <font>
        <b/>
        <strike val="0"/>
        <outline val="0"/>
        <shadow val="0"/>
        <u val="none"/>
        <vertAlign val="baseline"/>
        <sz val="14"/>
        <name val="Calibri"/>
        <scheme val="minor"/>
      </font>
      <fill>
        <patternFill patternType="solid">
          <fgColor indexed="64"/>
          <bgColor theme="7" tint="0.59999389629810485"/>
        </patternFill>
      </fill>
      <alignment horizontal="left" vertical="center" textRotation="0" wrapText="0" indent="0" justifyLastLine="0" shrinkToFit="0" readingOrder="0"/>
      <border diagonalUp="0" diagonalDown="0">
        <left style="medium">
          <color indexed="64"/>
        </left>
        <right style="thin">
          <color auto="1"/>
        </right>
        <top style="thin">
          <color auto="1"/>
        </top>
        <bottom style="thin">
          <color auto="1"/>
        </bottom>
      </border>
    </dxf>
    <dxf>
      <font>
        <strike val="0"/>
        <outline val="0"/>
        <shadow val="0"/>
        <u val="none"/>
        <vertAlign val="baseline"/>
        <sz val="14"/>
        <name val="Calibri"/>
        <scheme val="minor"/>
      </font>
      <numFmt numFmtId="165" formatCode="#0.00\ &quot;T&quot;"/>
      <fill>
        <patternFill patternType="solid">
          <fgColor indexed="64"/>
          <bgColor theme="7" tint="0.59999389629810485"/>
        </patternFill>
      </fill>
      <alignment horizontal="left" vertical="center" textRotation="0" wrapText="0" indent="0" justifyLastLine="0" shrinkToFit="0" readingOrder="0"/>
      <border diagonalUp="0" diagonalDown="0">
        <left style="thin">
          <color auto="1"/>
        </left>
        <right style="medium">
          <color indexed="64"/>
        </right>
        <top style="thin">
          <color auto="1"/>
        </top>
        <bottom style="thin">
          <color auto="1"/>
        </bottom>
      </border>
    </dxf>
    <dxf>
      <font>
        <b/>
        <strike val="0"/>
        <outline val="0"/>
        <shadow val="0"/>
        <u val="none"/>
        <vertAlign val="baseline"/>
        <sz val="14"/>
        <name val="Calibri"/>
        <scheme val="minor"/>
      </font>
      <fill>
        <patternFill patternType="solid">
          <fgColor indexed="64"/>
          <bgColor theme="7" tint="0.59999389629810485"/>
        </patternFill>
      </fill>
      <alignment horizontal="left" vertical="center" textRotation="0" wrapText="0" indent="0" justifyLastLine="0" shrinkToFit="0" readingOrder="0"/>
      <border diagonalUp="0" diagonalDown="0">
        <left style="medium">
          <color indexed="64"/>
        </left>
        <right style="thin">
          <color auto="1"/>
        </right>
        <top style="thin">
          <color auto="1"/>
        </top>
        <bottom style="thin">
          <color auto="1"/>
        </bottom>
      </border>
    </dxf>
    <dxf>
      <font>
        <strike val="0"/>
        <outline val="0"/>
        <shadow val="0"/>
        <u val="none"/>
        <vertAlign val="baseline"/>
        <sz val="14"/>
        <name val="Calibri"/>
        <scheme val="minor"/>
      </font>
      <fill>
        <patternFill patternType="solid">
          <fgColor indexed="64"/>
          <bgColor theme="0" tint="-4.9989318521683403E-2"/>
        </patternFill>
      </fill>
      <alignment horizontal="left" vertical="center" textRotation="0" wrapText="0" indent="0" justifyLastLine="0" shrinkToFit="0" readingOrder="0"/>
      <border diagonalUp="0" diagonalDown="0">
        <left style="medium">
          <color indexed="64"/>
        </left>
        <right style="medium">
          <color indexed="64"/>
        </right>
        <top style="thin">
          <color auto="1"/>
        </top>
        <bottom style="thin">
          <color auto="1"/>
        </bottom>
      </border>
    </dxf>
    <dxf>
      <font>
        <strike val="0"/>
        <outline val="0"/>
        <shadow val="0"/>
        <u val="none"/>
        <vertAlign val="baseline"/>
        <sz val="14"/>
        <name val="Calibri"/>
        <scheme val="minor"/>
      </font>
      <alignment horizontal="left"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6"/>
        <color auto="1"/>
        <name val="Calibri"/>
        <scheme val="minor"/>
      </font>
      <fill>
        <patternFill patternType="solid">
          <fgColor indexed="64"/>
          <bgColor rgb="FFF0AC62"/>
        </patternFill>
      </fill>
      <alignment horizontal="left" vertical="center" textRotation="0" wrapText="0" indent="0" justifyLastLine="0" shrinkToFit="0" readingOrder="0"/>
    </dxf>
    <dxf>
      <numFmt numFmtId="164" formatCode="#0.00\ &quot;Ha&quot;"/>
    </dxf>
    <dxf>
      <border diagonalUp="0" diagonalDown="0">
        <left style="medium">
          <color indexed="64"/>
        </left>
        <right style="medium">
          <color indexed="64"/>
        </right>
        <top style="medium">
          <color indexed="64"/>
        </top>
        <bottom style="medium">
          <color indexed="64"/>
        </bottom>
      </border>
    </dxf>
    <dxf>
      <border outline="0">
        <bottom style="medium">
          <color indexed="64"/>
        </bottom>
      </border>
    </dxf>
    <dxf>
      <font>
        <strike val="0"/>
        <outline val="0"/>
        <shadow val="0"/>
        <u val="none"/>
        <vertAlign val="baseline"/>
        <sz val="16"/>
        <color auto="1"/>
        <name val="Calibri"/>
        <scheme val="minor"/>
      </font>
      <fill>
        <patternFill patternType="solid">
          <fgColor indexed="64"/>
          <bgColor rgb="FFF0AC62"/>
        </patternFill>
      </fill>
    </dxf>
    <dxf>
      <font>
        <b val="0"/>
        <i val="0"/>
        <strike val="0"/>
        <condense val="0"/>
        <extend val="0"/>
        <outline val="0"/>
        <shadow val="0"/>
        <u val="none"/>
        <vertAlign val="baseline"/>
        <sz val="9"/>
        <color theme="1"/>
        <name val="Calibri"/>
        <scheme val="minor"/>
      </font>
      <numFmt numFmtId="179" formatCode="#0.00\ &quot;Kg de DVE&quot;"/>
      <fill>
        <patternFill patternType="solid">
          <fgColor indexed="64"/>
          <bgColor rgb="FF92D050"/>
        </patternFill>
      </fill>
      <alignment horizontal="left" vertical="center" textRotation="0" wrapText="0" indent="0" justifyLastLine="0" shrinkToFit="0" readingOrder="0"/>
      <border diagonalUp="0" diagonalDown="0">
        <left/>
        <right/>
        <top style="medium">
          <color auto="1"/>
        </top>
        <bottom style="medium">
          <color auto="1"/>
        </bottom>
        <vertical/>
        <horizontal style="medium">
          <color auto="1"/>
        </horizontal>
      </border>
      <protection locked="1" hidden="0"/>
    </dxf>
    <dxf>
      <font>
        <b val="0"/>
        <i val="0"/>
        <strike val="0"/>
        <condense val="0"/>
        <extend val="0"/>
        <outline val="0"/>
        <shadow val="0"/>
        <u val="none"/>
        <vertAlign val="baseline"/>
        <sz val="9"/>
        <color theme="1"/>
        <name val="Calibri"/>
        <scheme val="minor"/>
      </font>
      <numFmt numFmtId="2" formatCode="0.00"/>
      <fill>
        <patternFill patternType="solid">
          <fgColor indexed="64"/>
          <bgColor rgb="FF92D050"/>
        </patternFill>
      </fill>
      <alignment horizontal="left" vertical="center" textRotation="0" wrapText="0"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9"/>
        <color theme="1"/>
        <name val="Calibri"/>
        <scheme val="minor"/>
      </font>
      <numFmt numFmtId="166" formatCode="#0.00\ &quot;VEM&quot;"/>
      <fill>
        <patternFill patternType="solid">
          <fgColor indexed="64"/>
          <bgColor rgb="FF92D050"/>
        </patternFill>
      </fill>
      <alignment horizontal="left" vertical="center" textRotation="0" wrapText="0" indent="0" justifyLastLine="0" shrinkToFit="0" readingOrder="0"/>
      <border diagonalUp="0" diagonalDown="0">
        <left/>
        <right/>
        <top style="medium">
          <color auto="1"/>
        </top>
        <bottom style="medium">
          <color auto="1"/>
        </bottom>
        <vertical/>
        <horizontal style="medium">
          <color auto="1"/>
        </horizontal>
      </border>
      <protection locked="1" hidden="0"/>
    </dxf>
    <dxf>
      <font>
        <b val="0"/>
        <i val="0"/>
        <strike val="0"/>
        <condense val="0"/>
        <extend val="0"/>
        <outline val="0"/>
        <shadow val="0"/>
        <u val="none"/>
        <vertAlign val="baseline"/>
        <sz val="9"/>
        <color theme="1"/>
        <name val="Calibri"/>
        <scheme val="minor"/>
      </font>
      <numFmt numFmtId="195" formatCode="#0.00\ &quot;VEM/kg de MS&quot;"/>
      <fill>
        <patternFill patternType="solid">
          <fgColor indexed="64"/>
          <bgColor rgb="FF92D050"/>
        </patternFill>
      </fill>
      <alignment horizontal="left" vertical="center" textRotation="0" wrapText="0"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9"/>
        <color theme="1"/>
        <name val="Calibri"/>
        <scheme val="minor"/>
      </font>
      <numFmt numFmtId="2" formatCode="0.00"/>
      <fill>
        <patternFill patternType="solid">
          <fgColor indexed="64"/>
          <bgColor theme="0" tint="-0.34998626667073579"/>
        </patternFill>
      </fill>
      <alignment horizontal="left" vertical="center" textRotation="0" wrapText="0"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9"/>
        <color theme="1"/>
        <name val="Calibri"/>
        <scheme val="minor"/>
      </font>
      <numFmt numFmtId="14" formatCode="0.00%"/>
      <fill>
        <patternFill patternType="solid">
          <fgColor indexed="64"/>
          <bgColor rgb="FF92D050"/>
        </patternFill>
      </fill>
      <alignment horizontal="left" vertical="center" textRotation="0" wrapText="0"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9"/>
        <color theme="1"/>
        <name val="Calibri"/>
        <scheme val="minor"/>
      </font>
      <numFmt numFmtId="2" formatCode="0.00"/>
      <fill>
        <patternFill patternType="solid">
          <fgColor indexed="64"/>
          <bgColor theme="0" tint="-0.34998626667073579"/>
        </patternFill>
      </fill>
      <alignment horizontal="left" vertical="center" textRotation="0" wrapText="0"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9"/>
        <color theme="1"/>
        <name val="Calibri"/>
        <scheme val="minor"/>
      </font>
      <numFmt numFmtId="181" formatCode="#0.00\ &quot;T/Ha&quot;"/>
      <fill>
        <patternFill patternType="solid">
          <fgColor indexed="64"/>
          <bgColor rgb="FF92D050"/>
        </patternFill>
      </fill>
      <alignment horizontal="left" vertical="center" textRotation="0" wrapText="0"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9"/>
        <color theme="1"/>
        <name val="Calibri"/>
        <scheme val="minor"/>
      </font>
      <numFmt numFmtId="164" formatCode="#0.00\ &quot;Ha&quot;"/>
      <fill>
        <patternFill patternType="solid">
          <fgColor indexed="64"/>
          <bgColor rgb="FF92D050"/>
        </patternFill>
      </fill>
      <alignment horizontal="left" vertical="center" textRotation="0" wrapText="0"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9"/>
        <color theme="1"/>
        <name val="Calibri"/>
        <scheme val="minor"/>
      </font>
      <alignment horizontal="left" vertical="center" textRotation="0" wrapText="0"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9"/>
        <color theme="1"/>
        <name val="Calibri"/>
        <scheme val="minor"/>
      </font>
      <fill>
        <patternFill patternType="solid">
          <fgColor indexed="64"/>
          <bgColor theme="0"/>
        </patternFill>
      </fill>
      <alignment horizontal="left" vertical="center" textRotation="0" wrapText="0" indent="0" justifyLastLine="0" shrinkToFit="0" readingOrder="0"/>
      <border diagonalUp="0" diagonalDown="0">
        <left style="medium">
          <color indexed="64"/>
        </left>
        <right style="thin">
          <color auto="1"/>
        </right>
        <top style="thin">
          <color auto="1"/>
        </top>
        <bottom/>
        <vertical/>
        <horizontal/>
      </border>
    </dxf>
    <dxf>
      <border outline="0">
        <top style="medium">
          <color indexed="64"/>
        </top>
        <bottom style="medium">
          <color indexed="64"/>
        </bottom>
      </border>
    </dxf>
    <dxf>
      <font>
        <strike val="0"/>
        <outline val="0"/>
        <shadow val="0"/>
        <vertAlign val="baseline"/>
        <sz val="9"/>
        <name val="Calibri"/>
        <scheme val="minor"/>
      </font>
      <alignment horizontal="left"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4"/>
        <color auto="1"/>
        <name val="Calibri"/>
        <scheme val="minor"/>
      </font>
      <fill>
        <patternFill patternType="solid">
          <fgColor indexed="64"/>
          <bgColor theme="5" tint="0.39997558519241921"/>
        </patternFill>
      </fill>
      <alignment horizontal="left" vertical="center" textRotation="0" wrapText="0" indent="0" justifyLastLine="0" shrinkToFit="0" readingOrder="0"/>
      <border diagonalUp="0" diagonalDown="0" outline="0">
        <left style="thin">
          <color auto="1"/>
        </left>
        <right style="thin">
          <color auto="1"/>
        </right>
        <top/>
        <bottom/>
      </border>
    </dxf>
  </dxfs>
  <tableStyles count="0" defaultTableStyle="TableStyleMedium2" defaultPivotStyle="PivotStyleLight16"/>
  <colors>
    <mruColors>
      <color rgb="FFC2E49C"/>
      <color rgb="FF02BBE0"/>
      <color rgb="FFB3FFFF"/>
      <color rgb="FFB08600"/>
      <color rgb="FFF0AC62"/>
      <color rgb="FF622C0A"/>
      <color rgb="FFA80000"/>
      <color rgb="FFEAB200"/>
      <color rgb="FFFF6600"/>
      <color rgb="FFE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272098</xdr:colOff>
      <xdr:row>5</xdr:row>
      <xdr:rowOff>179151</xdr:rowOff>
    </xdr:from>
    <xdr:to>
      <xdr:col>11</xdr:col>
      <xdr:colOff>904875</xdr:colOff>
      <xdr:row>31</xdr:row>
      <xdr:rowOff>23521</xdr:rowOff>
    </xdr:to>
    <xdr:pic>
      <xdr:nvPicPr>
        <xdr:cNvPr id="3" name="Image 2">
          <a:extLst>
            <a:ext uri="{FF2B5EF4-FFF2-40B4-BE49-F238E27FC236}">
              <a16:creationId xmlns:a16="http://schemas.microsoft.com/office/drawing/2014/main" id="{11B6BB41-217F-45D6-A0ED-D9BEBE1A0C0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25023" y="1007826"/>
          <a:ext cx="5766752" cy="45497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76200</xdr:colOff>
      <xdr:row>23</xdr:row>
      <xdr:rowOff>167640</xdr:rowOff>
    </xdr:from>
    <xdr:to>
      <xdr:col>9</xdr:col>
      <xdr:colOff>541020</xdr:colOff>
      <xdr:row>26</xdr:row>
      <xdr:rowOff>7165</xdr:rowOff>
    </xdr:to>
    <xdr:sp macro="" textlink="">
      <xdr:nvSpPr>
        <xdr:cNvPr id="55" name="Flèche vers le bas 54"/>
        <xdr:cNvSpPr/>
      </xdr:nvSpPr>
      <xdr:spPr>
        <a:xfrm rot="16200000">
          <a:off x="7246847" y="4335553"/>
          <a:ext cx="388165" cy="464820"/>
        </a:xfrm>
        <a:prstGeom prst="downArrow">
          <a:avLst/>
        </a:prstGeom>
        <a:ln>
          <a:solidFill>
            <a:schemeClr val="bg1">
              <a:lumMod val="50000"/>
            </a:schemeClr>
          </a:solidFill>
        </a:ln>
      </xdr:spPr>
      <xdr:style>
        <a:lnRef idx="3">
          <a:schemeClr val="lt1"/>
        </a:lnRef>
        <a:fillRef idx="1">
          <a:schemeClr val="accent3"/>
        </a:fillRef>
        <a:effectRef idx="1">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723900</xdr:colOff>
      <xdr:row>23</xdr:row>
      <xdr:rowOff>83820</xdr:rowOff>
    </xdr:from>
    <xdr:to>
      <xdr:col>13</xdr:col>
      <xdr:colOff>373380</xdr:colOff>
      <xdr:row>26</xdr:row>
      <xdr:rowOff>7620</xdr:rowOff>
    </xdr:to>
    <xdr:grpSp>
      <xdr:nvGrpSpPr>
        <xdr:cNvPr id="56" name="Groupe 55"/>
        <xdr:cNvGrpSpPr/>
      </xdr:nvGrpSpPr>
      <xdr:grpSpPr>
        <a:xfrm>
          <a:off x="7856220" y="4290060"/>
          <a:ext cx="2819400" cy="472440"/>
          <a:chOff x="1859280" y="1310640"/>
          <a:chExt cx="2819400" cy="472440"/>
        </a:xfrm>
      </xdr:grpSpPr>
      <xdr:sp macro="" textlink="">
        <xdr:nvSpPr>
          <xdr:cNvPr id="57" name="ZoneTexte 56"/>
          <xdr:cNvSpPr txBox="1"/>
        </xdr:nvSpPr>
        <xdr:spPr>
          <a:xfrm>
            <a:off x="1859280" y="1310640"/>
            <a:ext cx="2819400" cy="472440"/>
          </a:xfrm>
          <a:prstGeom prst="roundRect">
            <a:avLst/>
          </a:prstGeom>
          <a:solidFill>
            <a:srgbClr val="C00000"/>
          </a:solidFill>
          <a:ln>
            <a:no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2000" b="1">
                <a:solidFill>
                  <a:schemeClr val="bg1"/>
                </a:solidFill>
              </a:rPr>
              <a:t> 12  Niveau</a:t>
            </a:r>
            <a:r>
              <a:rPr lang="en-US" sz="2000" b="1" baseline="0">
                <a:solidFill>
                  <a:schemeClr val="bg1"/>
                </a:solidFill>
              </a:rPr>
              <a:t> d'autonomie</a:t>
            </a:r>
            <a:endParaRPr lang="en-US" sz="900" b="1">
              <a:solidFill>
                <a:schemeClr val="bg1"/>
              </a:solidFill>
            </a:endParaRPr>
          </a:p>
        </xdr:txBody>
      </xdr:sp>
      <xdr:sp macro="" textlink="">
        <xdr:nvSpPr>
          <xdr:cNvPr id="58" name="Organigramme : Connecteur 57"/>
          <xdr:cNvSpPr/>
        </xdr:nvSpPr>
        <xdr:spPr>
          <a:xfrm>
            <a:off x="1981200" y="1386840"/>
            <a:ext cx="350520" cy="320040"/>
          </a:xfrm>
          <a:prstGeom prst="flowChartConnector">
            <a:avLst/>
          </a:prstGeom>
          <a:noFill/>
          <a:ln w="190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4</xdr:col>
      <xdr:colOff>251460</xdr:colOff>
      <xdr:row>23</xdr:row>
      <xdr:rowOff>91440</xdr:rowOff>
    </xdr:from>
    <xdr:to>
      <xdr:col>4</xdr:col>
      <xdr:colOff>678180</xdr:colOff>
      <xdr:row>25</xdr:row>
      <xdr:rowOff>152400</xdr:rowOff>
    </xdr:to>
    <xdr:sp macro="" textlink="">
      <xdr:nvSpPr>
        <xdr:cNvPr id="60" name="Plus 59"/>
        <xdr:cNvSpPr/>
      </xdr:nvSpPr>
      <xdr:spPr>
        <a:xfrm>
          <a:off x="3421380" y="4297680"/>
          <a:ext cx="426720" cy="426720"/>
        </a:xfrm>
        <a:prstGeom prst="mathPlus">
          <a:avLst/>
        </a:prstGeom>
        <a:ln>
          <a:solidFill>
            <a:schemeClr val="bg1">
              <a:lumMod val="50000"/>
            </a:schemeClr>
          </a:solidFill>
        </a:ln>
      </xdr:spPr>
      <xdr:style>
        <a:lnRef idx="3">
          <a:schemeClr val="lt1"/>
        </a:lnRef>
        <a:fillRef idx="1">
          <a:schemeClr val="accent3"/>
        </a:fillRef>
        <a:effectRef idx="1">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0</xdr:colOff>
      <xdr:row>23</xdr:row>
      <xdr:rowOff>83820</xdr:rowOff>
    </xdr:from>
    <xdr:to>
      <xdr:col>6</xdr:col>
      <xdr:colOff>274320</xdr:colOff>
      <xdr:row>26</xdr:row>
      <xdr:rowOff>7620</xdr:rowOff>
    </xdr:to>
    <xdr:sp macro="" textlink="">
      <xdr:nvSpPr>
        <xdr:cNvPr id="61" name="ZoneTexte 60"/>
        <xdr:cNvSpPr txBox="1"/>
      </xdr:nvSpPr>
      <xdr:spPr>
        <a:xfrm>
          <a:off x="3962400" y="4290060"/>
          <a:ext cx="1066800" cy="472440"/>
        </a:xfrm>
        <a:prstGeom prst="roundRect">
          <a:avLst/>
        </a:prstGeom>
        <a:solidFill>
          <a:schemeClr val="accent2">
            <a:lumMod val="75000"/>
          </a:schemeClr>
        </a:solidFill>
        <a:ln>
          <a:no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2000" b="1">
              <a:solidFill>
                <a:schemeClr val="bg1"/>
              </a:solidFill>
            </a:rPr>
            <a:t>Besoins</a:t>
          </a:r>
          <a:endParaRPr lang="en-US" sz="900" b="1">
            <a:solidFill>
              <a:schemeClr val="bg1"/>
            </a:solidFill>
          </a:endParaRPr>
        </a:p>
      </xdr:txBody>
    </xdr:sp>
    <xdr:clientData/>
  </xdr:twoCellAnchor>
  <xdr:twoCellAnchor>
    <xdr:from>
      <xdr:col>6</xdr:col>
      <xdr:colOff>350520</xdr:colOff>
      <xdr:row>23</xdr:row>
      <xdr:rowOff>91440</xdr:rowOff>
    </xdr:from>
    <xdr:to>
      <xdr:col>6</xdr:col>
      <xdr:colOff>777240</xdr:colOff>
      <xdr:row>25</xdr:row>
      <xdr:rowOff>152400</xdr:rowOff>
    </xdr:to>
    <xdr:sp macro="" textlink="">
      <xdr:nvSpPr>
        <xdr:cNvPr id="62" name="Plus 61"/>
        <xdr:cNvSpPr/>
      </xdr:nvSpPr>
      <xdr:spPr>
        <a:xfrm>
          <a:off x="5105400" y="4297680"/>
          <a:ext cx="426720" cy="426720"/>
        </a:xfrm>
        <a:prstGeom prst="mathPlus">
          <a:avLst/>
        </a:prstGeom>
        <a:ln>
          <a:solidFill>
            <a:schemeClr val="bg1">
              <a:lumMod val="50000"/>
            </a:schemeClr>
          </a:solidFill>
        </a:ln>
      </xdr:spPr>
      <xdr:style>
        <a:lnRef idx="3">
          <a:schemeClr val="lt1"/>
        </a:lnRef>
        <a:fillRef idx="1">
          <a:schemeClr val="accent3"/>
        </a:fillRef>
        <a:effectRef idx="1">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114300</xdr:colOff>
      <xdr:row>23</xdr:row>
      <xdr:rowOff>83820</xdr:rowOff>
    </xdr:from>
    <xdr:to>
      <xdr:col>8</xdr:col>
      <xdr:colOff>716280</xdr:colOff>
      <xdr:row>26</xdr:row>
      <xdr:rowOff>7620</xdr:rowOff>
    </xdr:to>
    <xdr:grpSp>
      <xdr:nvGrpSpPr>
        <xdr:cNvPr id="63" name="Groupe 62"/>
        <xdr:cNvGrpSpPr/>
      </xdr:nvGrpSpPr>
      <xdr:grpSpPr>
        <a:xfrm>
          <a:off x="5661660" y="4290060"/>
          <a:ext cx="1394460" cy="472440"/>
          <a:chOff x="1859280" y="1310640"/>
          <a:chExt cx="1394460" cy="472440"/>
        </a:xfrm>
      </xdr:grpSpPr>
      <xdr:sp macro="" textlink="">
        <xdr:nvSpPr>
          <xdr:cNvPr id="64" name="ZoneTexte 63"/>
          <xdr:cNvSpPr txBox="1"/>
        </xdr:nvSpPr>
        <xdr:spPr>
          <a:xfrm>
            <a:off x="1859280" y="1310640"/>
            <a:ext cx="1394460" cy="472440"/>
          </a:xfrm>
          <a:prstGeom prst="roundRect">
            <a:avLst/>
          </a:prstGeom>
          <a:solidFill>
            <a:schemeClr val="accent4"/>
          </a:solidFill>
          <a:ln>
            <a:no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2000" b="1">
                <a:solidFill>
                  <a:sysClr val="windowText" lastClr="000000"/>
                </a:solidFill>
              </a:rPr>
              <a:t> 10  Achats</a:t>
            </a:r>
            <a:endParaRPr lang="en-US" sz="900" b="1">
              <a:solidFill>
                <a:sysClr val="windowText" lastClr="000000"/>
              </a:solidFill>
            </a:endParaRPr>
          </a:p>
        </xdr:txBody>
      </xdr:sp>
      <xdr:sp macro="" textlink="">
        <xdr:nvSpPr>
          <xdr:cNvPr id="65" name="Organigramme : Connecteur 64"/>
          <xdr:cNvSpPr/>
        </xdr:nvSpPr>
        <xdr:spPr>
          <a:xfrm>
            <a:off x="1981200" y="1386840"/>
            <a:ext cx="350520" cy="320040"/>
          </a:xfrm>
          <a:prstGeom prst="flowChartConnector">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7</xdr:col>
      <xdr:colOff>64544</xdr:colOff>
      <xdr:row>8</xdr:row>
      <xdr:rowOff>99286</xdr:rowOff>
    </xdr:from>
    <xdr:to>
      <xdr:col>7</xdr:col>
      <xdr:colOff>529364</xdr:colOff>
      <xdr:row>10</xdr:row>
      <xdr:rowOff>121691</xdr:rowOff>
    </xdr:to>
    <xdr:sp macro="" textlink="">
      <xdr:nvSpPr>
        <xdr:cNvPr id="67" name="Flèche vers le bas 66"/>
        <xdr:cNvSpPr/>
      </xdr:nvSpPr>
      <xdr:spPr>
        <a:xfrm rot="16200000">
          <a:off x="5650231" y="1523999"/>
          <a:ext cx="388165" cy="464820"/>
        </a:xfrm>
        <a:prstGeom prst="downArrow">
          <a:avLst/>
        </a:prstGeom>
        <a:ln>
          <a:solidFill>
            <a:schemeClr val="bg1">
              <a:lumMod val="50000"/>
            </a:schemeClr>
          </a:solidFill>
        </a:ln>
      </xdr:spPr>
      <xdr:style>
        <a:lnRef idx="3">
          <a:schemeClr val="lt1"/>
        </a:lnRef>
        <a:fillRef idx="1">
          <a:schemeClr val="accent3"/>
        </a:fillRef>
        <a:effectRef idx="1">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304801</xdr:colOff>
      <xdr:row>8</xdr:row>
      <xdr:rowOff>68580</xdr:rowOff>
    </xdr:from>
    <xdr:to>
      <xdr:col>2</xdr:col>
      <xdr:colOff>731521</xdr:colOff>
      <xdr:row>10</xdr:row>
      <xdr:rowOff>129540</xdr:rowOff>
    </xdr:to>
    <xdr:sp macro="" textlink="">
      <xdr:nvSpPr>
        <xdr:cNvPr id="68" name="Plus 67"/>
        <xdr:cNvSpPr/>
      </xdr:nvSpPr>
      <xdr:spPr>
        <a:xfrm>
          <a:off x="1889761" y="1531620"/>
          <a:ext cx="426720" cy="426720"/>
        </a:xfrm>
        <a:prstGeom prst="mathPlus">
          <a:avLst/>
        </a:prstGeom>
        <a:ln>
          <a:solidFill>
            <a:schemeClr val="bg1">
              <a:lumMod val="50000"/>
            </a:schemeClr>
          </a:solidFill>
        </a:ln>
      </xdr:spPr>
      <xdr:style>
        <a:lnRef idx="3">
          <a:schemeClr val="lt1"/>
        </a:lnRef>
        <a:fillRef idx="1">
          <a:schemeClr val="accent3"/>
        </a:fillRef>
        <a:effectRef idx="1">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731521</xdr:colOff>
      <xdr:row>8</xdr:row>
      <xdr:rowOff>68580</xdr:rowOff>
    </xdr:from>
    <xdr:to>
      <xdr:col>5</xdr:col>
      <xdr:colOff>365761</xdr:colOff>
      <xdr:row>10</xdr:row>
      <xdr:rowOff>129540</xdr:rowOff>
    </xdr:to>
    <xdr:sp macro="" textlink="">
      <xdr:nvSpPr>
        <xdr:cNvPr id="69" name="Plus 68"/>
        <xdr:cNvSpPr/>
      </xdr:nvSpPr>
      <xdr:spPr>
        <a:xfrm>
          <a:off x="3901441" y="1531620"/>
          <a:ext cx="426720" cy="426720"/>
        </a:xfrm>
        <a:prstGeom prst="mathPlus">
          <a:avLst/>
        </a:prstGeom>
        <a:ln>
          <a:solidFill>
            <a:schemeClr val="bg1">
              <a:lumMod val="50000"/>
            </a:schemeClr>
          </a:solidFill>
        </a:ln>
      </xdr:spPr>
      <xdr:style>
        <a:lnRef idx="3">
          <a:schemeClr val="lt1"/>
        </a:lnRef>
        <a:fillRef idx="1">
          <a:schemeClr val="accent3"/>
        </a:fillRef>
        <a:effectRef idx="1">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441961</xdr:colOff>
      <xdr:row>4</xdr:row>
      <xdr:rowOff>121920</xdr:rowOff>
    </xdr:from>
    <xdr:to>
      <xdr:col>2</xdr:col>
      <xdr:colOff>754381</xdr:colOff>
      <xdr:row>7</xdr:row>
      <xdr:rowOff>45720</xdr:rowOff>
    </xdr:to>
    <xdr:grpSp>
      <xdr:nvGrpSpPr>
        <xdr:cNvPr id="70" name="Groupe 69"/>
        <xdr:cNvGrpSpPr/>
      </xdr:nvGrpSpPr>
      <xdr:grpSpPr>
        <a:xfrm>
          <a:off x="441961" y="853440"/>
          <a:ext cx="1897380" cy="472440"/>
          <a:chOff x="2514600" y="152400"/>
          <a:chExt cx="1897380" cy="472440"/>
        </a:xfrm>
      </xdr:grpSpPr>
      <xdr:sp macro="" textlink="">
        <xdr:nvSpPr>
          <xdr:cNvPr id="71" name="ZoneTexte 70"/>
          <xdr:cNvSpPr txBox="1"/>
        </xdr:nvSpPr>
        <xdr:spPr>
          <a:xfrm>
            <a:off x="2514600" y="152400"/>
            <a:ext cx="1897380" cy="472440"/>
          </a:xfrm>
          <a:prstGeom prst="roundRect">
            <a:avLst/>
          </a:prstGeom>
          <a:solidFill>
            <a:schemeClr val="accent1">
              <a:lumMod val="60000"/>
              <a:lumOff val="40000"/>
            </a:schemeClr>
          </a:solidFill>
          <a:ln>
            <a:no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2000" b="1">
                <a:solidFill>
                  <a:sysClr val="windowText" lastClr="000000"/>
                </a:solidFill>
              </a:rPr>
              <a:t>  1</a:t>
            </a:r>
            <a:r>
              <a:rPr lang="en-US" sz="2000" b="1" baseline="0">
                <a:solidFill>
                  <a:sysClr val="windowText" lastClr="000000"/>
                </a:solidFill>
              </a:rPr>
              <a:t>  </a:t>
            </a:r>
            <a:r>
              <a:rPr lang="en-US" sz="2000" b="1">
                <a:solidFill>
                  <a:sysClr val="windowText" lastClr="000000"/>
                </a:solidFill>
              </a:rPr>
              <a:t>Assolement</a:t>
            </a:r>
            <a:endParaRPr lang="en-US" sz="900" b="1">
              <a:solidFill>
                <a:sysClr val="windowText" lastClr="000000"/>
              </a:solidFill>
            </a:endParaRPr>
          </a:p>
        </xdr:txBody>
      </xdr:sp>
      <xdr:sp macro="" textlink="">
        <xdr:nvSpPr>
          <xdr:cNvPr id="72" name="Organigramme : Connecteur 71"/>
          <xdr:cNvSpPr/>
        </xdr:nvSpPr>
        <xdr:spPr>
          <a:xfrm>
            <a:off x="2674620" y="251460"/>
            <a:ext cx="259080" cy="251460"/>
          </a:xfrm>
          <a:prstGeom prst="flowChartConnector">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0</xdr:col>
      <xdr:colOff>464821</xdr:colOff>
      <xdr:row>8</xdr:row>
      <xdr:rowOff>53340</xdr:rowOff>
    </xdr:from>
    <xdr:to>
      <xdr:col>2</xdr:col>
      <xdr:colOff>243841</xdr:colOff>
      <xdr:row>10</xdr:row>
      <xdr:rowOff>160020</xdr:rowOff>
    </xdr:to>
    <xdr:grpSp>
      <xdr:nvGrpSpPr>
        <xdr:cNvPr id="73" name="Groupe 72"/>
        <xdr:cNvGrpSpPr/>
      </xdr:nvGrpSpPr>
      <xdr:grpSpPr>
        <a:xfrm>
          <a:off x="464821" y="1516380"/>
          <a:ext cx="1363980" cy="472440"/>
          <a:chOff x="1859280" y="1310640"/>
          <a:chExt cx="1363980" cy="472440"/>
        </a:xfrm>
      </xdr:grpSpPr>
      <xdr:sp macro="" textlink="">
        <xdr:nvSpPr>
          <xdr:cNvPr id="74" name="ZoneTexte 73"/>
          <xdr:cNvSpPr txBox="1"/>
        </xdr:nvSpPr>
        <xdr:spPr>
          <a:xfrm>
            <a:off x="1859280" y="1310640"/>
            <a:ext cx="1363980" cy="472440"/>
          </a:xfrm>
          <a:prstGeom prst="roundRect">
            <a:avLst/>
          </a:prstGeom>
          <a:solidFill>
            <a:schemeClr val="accent6">
              <a:lumMod val="60000"/>
              <a:lumOff val="40000"/>
            </a:schemeClr>
          </a:solidFill>
          <a:ln>
            <a:no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2000" b="1">
                <a:solidFill>
                  <a:sysClr val="windowText" lastClr="000000"/>
                </a:solidFill>
              </a:rPr>
              <a:t> 2  Récolte</a:t>
            </a:r>
            <a:endParaRPr lang="en-US" sz="900" b="1">
              <a:solidFill>
                <a:sysClr val="windowText" lastClr="000000"/>
              </a:solidFill>
            </a:endParaRPr>
          </a:p>
        </xdr:txBody>
      </xdr:sp>
      <xdr:sp macro="" textlink="">
        <xdr:nvSpPr>
          <xdr:cNvPr id="75" name="Organigramme : Connecteur 74"/>
          <xdr:cNvSpPr/>
        </xdr:nvSpPr>
        <xdr:spPr>
          <a:xfrm>
            <a:off x="1958340" y="1417320"/>
            <a:ext cx="259080" cy="251460"/>
          </a:xfrm>
          <a:prstGeom prst="flowChartConnector">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2</xdr:col>
      <xdr:colOff>769621</xdr:colOff>
      <xdr:row>8</xdr:row>
      <xdr:rowOff>53340</xdr:rowOff>
    </xdr:from>
    <xdr:to>
      <xdr:col>4</xdr:col>
      <xdr:colOff>731521</xdr:colOff>
      <xdr:row>10</xdr:row>
      <xdr:rowOff>160020</xdr:rowOff>
    </xdr:to>
    <xdr:grpSp>
      <xdr:nvGrpSpPr>
        <xdr:cNvPr id="76" name="Groupe 75"/>
        <xdr:cNvGrpSpPr/>
      </xdr:nvGrpSpPr>
      <xdr:grpSpPr>
        <a:xfrm>
          <a:off x="2354581" y="1516380"/>
          <a:ext cx="1546860" cy="472440"/>
          <a:chOff x="3749040" y="1310640"/>
          <a:chExt cx="1546860" cy="472440"/>
        </a:xfrm>
      </xdr:grpSpPr>
      <xdr:sp macro="" textlink="">
        <xdr:nvSpPr>
          <xdr:cNvPr id="77" name="ZoneTexte 76"/>
          <xdr:cNvSpPr txBox="1"/>
        </xdr:nvSpPr>
        <xdr:spPr>
          <a:xfrm>
            <a:off x="3749040" y="1310640"/>
            <a:ext cx="1546860" cy="472440"/>
          </a:xfrm>
          <a:prstGeom prst="roundRect">
            <a:avLst/>
          </a:prstGeom>
          <a:solidFill>
            <a:srgbClr val="92D050"/>
          </a:solidFill>
          <a:ln>
            <a:no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2000" b="1">
                <a:solidFill>
                  <a:sysClr val="windowText" lastClr="000000"/>
                </a:solidFill>
              </a:rPr>
              <a:t> 3  Pâturage</a:t>
            </a:r>
            <a:endParaRPr lang="en-US" sz="900" b="1">
              <a:solidFill>
                <a:sysClr val="windowText" lastClr="000000"/>
              </a:solidFill>
            </a:endParaRPr>
          </a:p>
        </xdr:txBody>
      </xdr:sp>
      <xdr:sp macro="" textlink="">
        <xdr:nvSpPr>
          <xdr:cNvPr id="78" name="Organigramme : Connecteur 77"/>
          <xdr:cNvSpPr/>
        </xdr:nvSpPr>
        <xdr:spPr>
          <a:xfrm>
            <a:off x="3855720" y="1417320"/>
            <a:ext cx="259080" cy="251460"/>
          </a:xfrm>
          <a:prstGeom prst="flowChartConnector">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5</xdr:col>
      <xdr:colOff>426721</xdr:colOff>
      <xdr:row>8</xdr:row>
      <xdr:rowOff>45720</xdr:rowOff>
    </xdr:from>
    <xdr:to>
      <xdr:col>6</xdr:col>
      <xdr:colOff>739141</xdr:colOff>
      <xdr:row>10</xdr:row>
      <xdr:rowOff>152400</xdr:rowOff>
    </xdr:to>
    <xdr:grpSp>
      <xdr:nvGrpSpPr>
        <xdr:cNvPr id="79" name="Groupe 78"/>
        <xdr:cNvGrpSpPr/>
      </xdr:nvGrpSpPr>
      <xdr:grpSpPr>
        <a:xfrm>
          <a:off x="4389121" y="1508760"/>
          <a:ext cx="1104900" cy="472440"/>
          <a:chOff x="5974080" y="1303020"/>
          <a:chExt cx="1104900" cy="472440"/>
        </a:xfrm>
      </xdr:grpSpPr>
      <xdr:sp macro="" textlink="">
        <xdr:nvSpPr>
          <xdr:cNvPr id="80" name="ZoneTexte 79"/>
          <xdr:cNvSpPr txBox="1"/>
        </xdr:nvSpPr>
        <xdr:spPr>
          <a:xfrm>
            <a:off x="5974080" y="1303020"/>
            <a:ext cx="1104900" cy="472440"/>
          </a:xfrm>
          <a:prstGeom prst="roundRect">
            <a:avLst/>
          </a:prstGeom>
          <a:solidFill>
            <a:schemeClr val="accent6"/>
          </a:solidFill>
          <a:ln>
            <a:no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2000" b="1">
                <a:solidFill>
                  <a:sysClr val="windowText" lastClr="000000"/>
                </a:solidFill>
              </a:rPr>
              <a:t> 4  Stock</a:t>
            </a:r>
            <a:endParaRPr lang="en-US" sz="900" b="1">
              <a:solidFill>
                <a:sysClr val="windowText" lastClr="000000"/>
              </a:solidFill>
            </a:endParaRPr>
          </a:p>
        </xdr:txBody>
      </xdr:sp>
      <xdr:sp macro="" textlink="">
        <xdr:nvSpPr>
          <xdr:cNvPr id="81" name="Organigramme : Connecteur 80"/>
          <xdr:cNvSpPr/>
        </xdr:nvSpPr>
        <xdr:spPr>
          <a:xfrm>
            <a:off x="6073140" y="1417320"/>
            <a:ext cx="259080" cy="251460"/>
          </a:xfrm>
          <a:prstGeom prst="flowChartConnector">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7</xdr:col>
      <xdr:colOff>617221</xdr:colOff>
      <xdr:row>8</xdr:row>
      <xdr:rowOff>68580</xdr:rowOff>
    </xdr:from>
    <xdr:to>
      <xdr:col>11</xdr:col>
      <xdr:colOff>358141</xdr:colOff>
      <xdr:row>10</xdr:row>
      <xdr:rowOff>175260</xdr:rowOff>
    </xdr:to>
    <xdr:grpSp>
      <xdr:nvGrpSpPr>
        <xdr:cNvPr id="82" name="Groupe 81"/>
        <xdr:cNvGrpSpPr/>
      </xdr:nvGrpSpPr>
      <xdr:grpSpPr>
        <a:xfrm>
          <a:off x="6164581" y="1531620"/>
          <a:ext cx="2910840" cy="472440"/>
          <a:chOff x="7559040" y="1325880"/>
          <a:chExt cx="2910840" cy="472440"/>
        </a:xfrm>
      </xdr:grpSpPr>
      <xdr:sp macro="" textlink="">
        <xdr:nvSpPr>
          <xdr:cNvPr id="83" name="ZoneTexte 82"/>
          <xdr:cNvSpPr txBox="1"/>
        </xdr:nvSpPr>
        <xdr:spPr>
          <a:xfrm>
            <a:off x="7559040" y="1325880"/>
            <a:ext cx="2910840" cy="472440"/>
          </a:xfrm>
          <a:prstGeom prst="roundRect">
            <a:avLst/>
          </a:prstGeom>
          <a:solidFill>
            <a:schemeClr val="accent6">
              <a:lumMod val="50000"/>
            </a:schemeClr>
          </a:solidFill>
          <a:ln>
            <a:no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2000" b="1">
                <a:solidFill>
                  <a:schemeClr val="bg1"/>
                </a:solidFill>
              </a:rPr>
              <a:t> 5  Production</a:t>
            </a:r>
            <a:r>
              <a:rPr lang="en-US" sz="2000" b="1" baseline="0">
                <a:solidFill>
                  <a:schemeClr val="bg1"/>
                </a:solidFill>
              </a:rPr>
              <a:t> fourragère</a:t>
            </a:r>
            <a:endParaRPr lang="en-US" sz="900" b="1">
              <a:solidFill>
                <a:schemeClr val="bg1"/>
              </a:solidFill>
            </a:endParaRPr>
          </a:p>
        </xdr:txBody>
      </xdr:sp>
      <xdr:sp macro="" textlink="">
        <xdr:nvSpPr>
          <xdr:cNvPr id="84" name="Organigramme : Connecteur 83"/>
          <xdr:cNvSpPr/>
        </xdr:nvSpPr>
        <xdr:spPr>
          <a:xfrm>
            <a:off x="7658100" y="1432560"/>
            <a:ext cx="259080" cy="251460"/>
          </a:xfrm>
          <a:prstGeom prst="flowChartConnector">
            <a:avLst/>
          </a:prstGeom>
          <a:noFill/>
          <a:ln w="190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0</xdr:col>
      <xdr:colOff>449581</xdr:colOff>
      <xdr:row>13</xdr:row>
      <xdr:rowOff>121920</xdr:rowOff>
    </xdr:from>
    <xdr:to>
      <xdr:col>3</xdr:col>
      <xdr:colOff>304801</xdr:colOff>
      <xdr:row>16</xdr:row>
      <xdr:rowOff>45720</xdr:rowOff>
    </xdr:to>
    <xdr:grpSp>
      <xdr:nvGrpSpPr>
        <xdr:cNvPr id="85" name="Groupe 84"/>
        <xdr:cNvGrpSpPr/>
      </xdr:nvGrpSpPr>
      <xdr:grpSpPr>
        <a:xfrm>
          <a:off x="449581" y="2499360"/>
          <a:ext cx="2232660" cy="472440"/>
          <a:chOff x="1859280" y="1310640"/>
          <a:chExt cx="2232660" cy="472440"/>
        </a:xfrm>
      </xdr:grpSpPr>
      <xdr:sp macro="" textlink="">
        <xdr:nvSpPr>
          <xdr:cNvPr id="86" name="ZoneTexte 85"/>
          <xdr:cNvSpPr txBox="1"/>
        </xdr:nvSpPr>
        <xdr:spPr>
          <a:xfrm>
            <a:off x="1859280" y="1310640"/>
            <a:ext cx="2232660" cy="472440"/>
          </a:xfrm>
          <a:prstGeom prst="roundRect">
            <a:avLst/>
          </a:prstGeom>
          <a:solidFill>
            <a:schemeClr val="accent2">
              <a:lumMod val="60000"/>
              <a:lumOff val="40000"/>
            </a:schemeClr>
          </a:solidFill>
          <a:ln>
            <a:no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2000" b="1">
                <a:solidFill>
                  <a:sysClr val="windowText" lastClr="000000"/>
                </a:solidFill>
              </a:rPr>
              <a:t> 6  Troupeau laitier</a:t>
            </a:r>
            <a:endParaRPr lang="en-US" sz="900" b="1">
              <a:solidFill>
                <a:sysClr val="windowText" lastClr="000000"/>
              </a:solidFill>
            </a:endParaRPr>
          </a:p>
        </xdr:txBody>
      </xdr:sp>
      <xdr:sp macro="" textlink="">
        <xdr:nvSpPr>
          <xdr:cNvPr id="87" name="Organigramme : Connecteur 86"/>
          <xdr:cNvSpPr/>
        </xdr:nvSpPr>
        <xdr:spPr>
          <a:xfrm>
            <a:off x="1958340" y="1417320"/>
            <a:ext cx="259080" cy="251460"/>
          </a:xfrm>
          <a:prstGeom prst="flowChartConnector">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4</xdr:col>
      <xdr:colOff>38101</xdr:colOff>
      <xdr:row>13</xdr:row>
      <xdr:rowOff>121920</xdr:rowOff>
    </xdr:from>
    <xdr:to>
      <xdr:col>7</xdr:col>
      <xdr:colOff>281941</xdr:colOff>
      <xdr:row>16</xdr:row>
      <xdr:rowOff>45720</xdr:rowOff>
    </xdr:to>
    <xdr:grpSp>
      <xdr:nvGrpSpPr>
        <xdr:cNvPr id="88" name="Groupe 87"/>
        <xdr:cNvGrpSpPr/>
      </xdr:nvGrpSpPr>
      <xdr:grpSpPr>
        <a:xfrm>
          <a:off x="3208021" y="2499360"/>
          <a:ext cx="2621280" cy="472440"/>
          <a:chOff x="1859280" y="1310640"/>
          <a:chExt cx="2621280" cy="472440"/>
        </a:xfrm>
      </xdr:grpSpPr>
      <xdr:sp macro="" textlink="">
        <xdr:nvSpPr>
          <xdr:cNvPr id="89" name="ZoneTexte 88"/>
          <xdr:cNvSpPr txBox="1"/>
        </xdr:nvSpPr>
        <xdr:spPr>
          <a:xfrm>
            <a:off x="1859280" y="1310640"/>
            <a:ext cx="2621280" cy="472440"/>
          </a:xfrm>
          <a:prstGeom prst="roundRect">
            <a:avLst/>
          </a:prstGeom>
          <a:solidFill>
            <a:schemeClr val="accent2"/>
          </a:solidFill>
          <a:ln>
            <a:no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2000" b="1">
                <a:solidFill>
                  <a:sysClr val="windowText" lastClr="000000"/>
                </a:solidFill>
              </a:rPr>
              <a:t> 7  Troupeau viandeux</a:t>
            </a:r>
            <a:endParaRPr lang="en-US" sz="900" b="1">
              <a:solidFill>
                <a:sysClr val="windowText" lastClr="000000"/>
              </a:solidFill>
            </a:endParaRPr>
          </a:p>
        </xdr:txBody>
      </xdr:sp>
      <xdr:sp macro="" textlink="">
        <xdr:nvSpPr>
          <xdr:cNvPr id="90" name="Organigramme : Connecteur 89"/>
          <xdr:cNvSpPr/>
        </xdr:nvSpPr>
        <xdr:spPr>
          <a:xfrm>
            <a:off x="1958340" y="1417320"/>
            <a:ext cx="259080" cy="251460"/>
          </a:xfrm>
          <a:prstGeom prst="flowChartConnector">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3</xdr:col>
      <xdr:colOff>358141</xdr:colOff>
      <xdr:row>13</xdr:row>
      <xdr:rowOff>129540</xdr:rowOff>
    </xdr:from>
    <xdr:to>
      <xdr:col>3</xdr:col>
      <xdr:colOff>784861</xdr:colOff>
      <xdr:row>16</xdr:row>
      <xdr:rowOff>7620</xdr:rowOff>
    </xdr:to>
    <xdr:sp macro="" textlink="">
      <xdr:nvSpPr>
        <xdr:cNvPr id="91" name="Plus 90"/>
        <xdr:cNvSpPr/>
      </xdr:nvSpPr>
      <xdr:spPr>
        <a:xfrm>
          <a:off x="2735581" y="2506980"/>
          <a:ext cx="426720" cy="426720"/>
        </a:xfrm>
        <a:prstGeom prst="mathPlus">
          <a:avLst/>
        </a:prstGeom>
        <a:ln>
          <a:solidFill>
            <a:schemeClr val="bg1">
              <a:lumMod val="50000"/>
            </a:schemeClr>
          </a:solidFill>
        </a:ln>
      </xdr:spPr>
      <xdr:style>
        <a:lnRef idx="3">
          <a:schemeClr val="lt1"/>
        </a:lnRef>
        <a:fillRef idx="1">
          <a:schemeClr val="accent3"/>
        </a:fillRef>
        <a:effectRef idx="1">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399824</xdr:colOff>
      <xdr:row>12</xdr:row>
      <xdr:rowOff>122146</xdr:rowOff>
    </xdr:from>
    <xdr:to>
      <xdr:col>8</xdr:col>
      <xdr:colOff>72164</xdr:colOff>
      <xdr:row>14</xdr:row>
      <xdr:rowOff>144551</xdr:rowOff>
    </xdr:to>
    <xdr:sp macro="" textlink="">
      <xdr:nvSpPr>
        <xdr:cNvPr id="92" name="Flèche vers le bas 91"/>
        <xdr:cNvSpPr/>
      </xdr:nvSpPr>
      <xdr:spPr>
        <a:xfrm rot="15184896">
          <a:off x="5985511" y="2278379"/>
          <a:ext cx="388165" cy="464820"/>
        </a:xfrm>
        <a:prstGeom prst="downArrow">
          <a:avLst/>
        </a:prstGeom>
        <a:ln>
          <a:solidFill>
            <a:schemeClr val="bg1">
              <a:lumMod val="50000"/>
            </a:schemeClr>
          </a:solidFill>
        </a:ln>
      </xdr:spPr>
      <xdr:style>
        <a:lnRef idx="3">
          <a:schemeClr val="lt1"/>
        </a:lnRef>
        <a:fillRef idx="1">
          <a:schemeClr val="accent3"/>
        </a:fillRef>
        <a:effectRef idx="1">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220981</xdr:colOff>
      <xdr:row>11</xdr:row>
      <xdr:rowOff>106680</xdr:rowOff>
    </xdr:from>
    <xdr:to>
      <xdr:col>9</xdr:col>
      <xdr:colOff>495301</xdr:colOff>
      <xdr:row>14</xdr:row>
      <xdr:rowOff>30480</xdr:rowOff>
    </xdr:to>
    <xdr:sp macro="" textlink="">
      <xdr:nvSpPr>
        <xdr:cNvPr id="93" name="ZoneTexte 92"/>
        <xdr:cNvSpPr txBox="1"/>
      </xdr:nvSpPr>
      <xdr:spPr>
        <a:xfrm>
          <a:off x="6560821" y="2118360"/>
          <a:ext cx="1066800" cy="472440"/>
        </a:xfrm>
        <a:prstGeom prst="roundRect">
          <a:avLst/>
        </a:prstGeom>
        <a:solidFill>
          <a:schemeClr val="accent2">
            <a:lumMod val="75000"/>
          </a:schemeClr>
        </a:solidFill>
        <a:ln>
          <a:no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2000" b="1">
              <a:solidFill>
                <a:schemeClr val="bg1"/>
              </a:solidFill>
            </a:rPr>
            <a:t>Besoins</a:t>
          </a:r>
          <a:endParaRPr lang="en-US" sz="900" b="1">
            <a:solidFill>
              <a:schemeClr val="bg1"/>
            </a:solidFill>
          </a:endParaRPr>
        </a:p>
      </xdr:txBody>
    </xdr:sp>
    <xdr:clientData/>
  </xdr:twoCellAnchor>
  <xdr:twoCellAnchor>
    <xdr:from>
      <xdr:col>8</xdr:col>
      <xdr:colOff>220981</xdr:colOff>
      <xdr:row>15</xdr:row>
      <xdr:rowOff>152400</xdr:rowOff>
    </xdr:from>
    <xdr:to>
      <xdr:col>11</xdr:col>
      <xdr:colOff>541021</xdr:colOff>
      <xdr:row>18</xdr:row>
      <xdr:rowOff>76200</xdr:rowOff>
    </xdr:to>
    <xdr:grpSp>
      <xdr:nvGrpSpPr>
        <xdr:cNvPr id="94" name="Groupe 93"/>
        <xdr:cNvGrpSpPr/>
      </xdr:nvGrpSpPr>
      <xdr:grpSpPr>
        <a:xfrm>
          <a:off x="6560821" y="2895600"/>
          <a:ext cx="2697480" cy="472440"/>
          <a:chOff x="1859280" y="1310640"/>
          <a:chExt cx="2621280" cy="472440"/>
        </a:xfrm>
      </xdr:grpSpPr>
      <xdr:sp macro="" textlink="">
        <xdr:nvSpPr>
          <xdr:cNvPr id="95" name="ZoneTexte 94"/>
          <xdr:cNvSpPr txBox="1"/>
        </xdr:nvSpPr>
        <xdr:spPr>
          <a:xfrm>
            <a:off x="1859280" y="1310640"/>
            <a:ext cx="2621280" cy="472440"/>
          </a:xfrm>
          <a:prstGeom prst="roundRect">
            <a:avLst/>
          </a:prstGeom>
          <a:solidFill>
            <a:schemeClr val="accent2">
              <a:lumMod val="50000"/>
            </a:schemeClr>
          </a:solidFill>
          <a:ln>
            <a:no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2000" b="1">
                <a:solidFill>
                  <a:schemeClr val="bg1"/>
                </a:solidFill>
              </a:rPr>
              <a:t> 8  Taux de chargement</a:t>
            </a:r>
            <a:endParaRPr lang="en-US" sz="900" b="1">
              <a:solidFill>
                <a:schemeClr val="bg1"/>
              </a:solidFill>
            </a:endParaRPr>
          </a:p>
        </xdr:txBody>
      </xdr:sp>
      <xdr:sp macro="" textlink="">
        <xdr:nvSpPr>
          <xdr:cNvPr id="96" name="Organigramme : Connecteur 95"/>
          <xdr:cNvSpPr/>
        </xdr:nvSpPr>
        <xdr:spPr>
          <a:xfrm>
            <a:off x="1958340" y="1417320"/>
            <a:ext cx="259080" cy="251460"/>
          </a:xfrm>
          <a:prstGeom prst="flowChartConnector">
            <a:avLst/>
          </a:prstGeom>
          <a:noFill/>
          <a:ln w="190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0</xdr:col>
      <xdr:colOff>464821</xdr:colOff>
      <xdr:row>19</xdr:row>
      <xdr:rowOff>45720</xdr:rowOff>
    </xdr:from>
    <xdr:to>
      <xdr:col>3</xdr:col>
      <xdr:colOff>777241</xdr:colOff>
      <xdr:row>21</xdr:row>
      <xdr:rowOff>152400</xdr:rowOff>
    </xdr:to>
    <xdr:grpSp>
      <xdr:nvGrpSpPr>
        <xdr:cNvPr id="97" name="Groupe 96"/>
        <xdr:cNvGrpSpPr/>
      </xdr:nvGrpSpPr>
      <xdr:grpSpPr>
        <a:xfrm>
          <a:off x="464821" y="3520440"/>
          <a:ext cx="2689860" cy="472440"/>
          <a:chOff x="1859280" y="1310640"/>
          <a:chExt cx="2689860" cy="472440"/>
        </a:xfrm>
      </xdr:grpSpPr>
      <xdr:sp macro="" textlink="">
        <xdr:nvSpPr>
          <xdr:cNvPr id="98" name="ZoneTexte 97"/>
          <xdr:cNvSpPr txBox="1"/>
        </xdr:nvSpPr>
        <xdr:spPr>
          <a:xfrm>
            <a:off x="1859280" y="1310640"/>
            <a:ext cx="2689860" cy="472440"/>
          </a:xfrm>
          <a:prstGeom prst="roundRect">
            <a:avLst/>
          </a:prstGeom>
          <a:solidFill>
            <a:schemeClr val="accent4">
              <a:lumMod val="60000"/>
              <a:lumOff val="40000"/>
            </a:schemeClr>
          </a:solidFill>
          <a:ln>
            <a:no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2000" b="1">
                <a:solidFill>
                  <a:sysClr val="windowText" lastClr="000000"/>
                </a:solidFill>
              </a:rPr>
              <a:t> 9  Coûts</a:t>
            </a:r>
            <a:r>
              <a:rPr lang="en-US" sz="2000" b="1" baseline="0">
                <a:solidFill>
                  <a:sysClr val="windowText" lastClr="000000"/>
                </a:solidFill>
              </a:rPr>
              <a:t> de production</a:t>
            </a:r>
            <a:endParaRPr lang="en-US" sz="900" b="1">
              <a:solidFill>
                <a:sysClr val="windowText" lastClr="000000"/>
              </a:solidFill>
            </a:endParaRPr>
          </a:p>
        </xdr:txBody>
      </xdr:sp>
      <xdr:sp macro="" textlink="">
        <xdr:nvSpPr>
          <xdr:cNvPr id="99" name="Organigramme : Connecteur 98"/>
          <xdr:cNvSpPr/>
        </xdr:nvSpPr>
        <xdr:spPr>
          <a:xfrm>
            <a:off x="1958340" y="1417320"/>
            <a:ext cx="259080" cy="251460"/>
          </a:xfrm>
          <a:prstGeom prst="flowChartConnector">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4</xdr:col>
      <xdr:colOff>640081</xdr:colOff>
      <xdr:row>19</xdr:row>
      <xdr:rowOff>45720</xdr:rowOff>
    </xdr:from>
    <xdr:to>
      <xdr:col>6</xdr:col>
      <xdr:colOff>449581</xdr:colOff>
      <xdr:row>21</xdr:row>
      <xdr:rowOff>152400</xdr:rowOff>
    </xdr:to>
    <xdr:grpSp>
      <xdr:nvGrpSpPr>
        <xdr:cNvPr id="100" name="Groupe 99"/>
        <xdr:cNvGrpSpPr/>
      </xdr:nvGrpSpPr>
      <xdr:grpSpPr>
        <a:xfrm>
          <a:off x="3810001" y="3520440"/>
          <a:ext cx="1394460" cy="472440"/>
          <a:chOff x="1859280" y="1310640"/>
          <a:chExt cx="1394460" cy="472440"/>
        </a:xfrm>
      </xdr:grpSpPr>
      <xdr:sp macro="" textlink="">
        <xdr:nvSpPr>
          <xdr:cNvPr id="101" name="ZoneTexte 100"/>
          <xdr:cNvSpPr txBox="1"/>
        </xdr:nvSpPr>
        <xdr:spPr>
          <a:xfrm>
            <a:off x="1859280" y="1310640"/>
            <a:ext cx="1394460" cy="472440"/>
          </a:xfrm>
          <a:prstGeom prst="roundRect">
            <a:avLst/>
          </a:prstGeom>
          <a:solidFill>
            <a:schemeClr val="accent4"/>
          </a:solidFill>
          <a:ln>
            <a:no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2000" b="1">
                <a:solidFill>
                  <a:sysClr val="windowText" lastClr="000000"/>
                </a:solidFill>
              </a:rPr>
              <a:t> 10  Achats</a:t>
            </a:r>
            <a:endParaRPr lang="en-US" sz="900" b="1">
              <a:solidFill>
                <a:sysClr val="windowText" lastClr="000000"/>
              </a:solidFill>
            </a:endParaRPr>
          </a:p>
        </xdr:txBody>
      </xdr:sp>
      <xdr:sp macro="" textlink="">
        <xdr:nvSpPr>
          <xdr:cNvPr id="102" name="Organigramme : Connecteur 101"/>
          <xdr:cNvSpPr/>
        </xdr:nvSpPr>
        <xdr:spPr>
          <a:xfrm>
            <a:off x="1981200" y="1386840"/>
            <a:ext cx="350520" cy="320040"/>
          </a:xfrm>
          <a:prstGeom prst="flowChartConnector">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4</xdr:col>
      <xdr:colOff>76201</xdr:colOff>
      <xdr:row>19</xdr:row>
      <xdr:rowOff>68580</xdr:rowOff>
    </xdr:from>
    <xdr:to>
      <xdr:col>4</xdr:col>
      <xdr:colOff>502921</xdr:colOff>
      <xdr:row>21</xdr:row>
      <xdr:rowOff>129540</xdr:rowOff>
    </xdr:to>
    <xdr:sp macro="" textlink="">
      <xdr:nvSpPr>
        <xdr:cNvPr id="103" name="Plus 102"/>
        <xdr:cNvSpPr/>
      </xdr:nvSpPr>
      <xdr:spPr>
        <a:xfrm>
          <a:off x="3246121" y="3543300"/>
          <a:ext cx="426720" cy="426720"/>
        </a:xfrm>
        <a:prstGeom prst="mathPlus">
          <a:avLst/>
        </a:prstGeom>
        <a:ln>
          <a:solidFill>
            <a:schemeClr val="bg1">
              <a:lumMod val="50000"/>
            </a:schemeClr>
          </a:solidFill>
        </a:ln>
      </xdr:spPr>
      <xdr:style>
        <a:lnRef idx="3">
          <a:schemeClr val="lt1"/>
        </a:lnRef>
        <a:fillRef idx="1">
          <a:schemeClr val="accent3"/>
        </a:fillRef>
        <a:effectRef idx="1">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571501</xdr:colOff>
      <xdr:row>19</xdr:row>
      <xdr:rowOff>91440</xdr:rowOff>
    </xdr:from>
    <xdr:to>
      <xdr:col>7</xdr:col>
      <xdr:colOff>243841</xdr:colOff>
      <xdr:row>21</xdr:row>
      <xdr:rowOff>113845</xdr:rowOff>
    </xdr:to>
    <xdr:sp macro="" textlink="">
      <xdr:nvSpPr>
        <xdr:cNvPr id="104" name="Flèche vers le bas 103"/>
        <xdr:cNvSpPr/>
      </xdr:nvSpPr>
      <xdr:spPr>
        <a:xfrm rot="16200000">
          <a:off x="5364708" y="3527833"/>
          <a:ext cx="388165" cy="464820"/>
        </a:xfrm>
        <a:prstGeom prst="downArrow">
          <a:avLst/>
        </a:prstGeom>
        <a:ln>
          <a:solidFill>
            <a:schemeClr val="bg1">
              <a:lumMod val="50000"/>
            </a:schemeClr>
          </a:solidFill>
        </a:ln>
      </xdr:spPr>
      <xdr:style>
        <a:lnRef idx="3">
          <a:schemeClr val="lt1"/>
        </a:lnRef>
        <a:fillRef idx="1">
          <a:schemeClr val="accent3"/>
        </a:fillRef>
        <a:effectRef idx="1">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342901</xdr:colOff>
      <xdr:row>19</xdr:row>
      <xdr:rowOff>45720</xdr:rowOff>
    </xdr:from>
    <xdr:to>
      <xdr:col>11</xdr:col>
      <xdr:colOff>243841</xdr:colOff>
      <xdr:row>21</xdr:row>
      <xdr:rowOff>152400</xdr:rowOff>
    </xdr:to>
    <xdr:grpSp>
      <xdr:nvGrpSpPr>
        <xdr:cNvPr id="105" name="Groupe 104"/>
        <xdr:cNvGrpSpPr/>
      </xdr:nvGrpSpPr>
      <xdr:grpSpPr>
        <a:xfrm>
          <a:off x="5890261" y="3520440"/>
          <a:ext cx="3070860" cy="472440"/>
          <a:chOff x="1859280" y="1310640"/>
          <a:chExt cx="3070860" cy="472440"/>
        </a:xfrm>
      </xdr:grpSpPr>
      <xdr:sp macro="" textlink="">
        <xdr:nvSpPr>
          <xdr:cNvPr id="106" name="ZoneTexte 105"/>
          <xdr:cNvSpPr txBox="1"/>
        </xdr:nvSpPr>
        <xdr:spPr>
          <a:xfrm>
            <a:off x="1859280" y="1310640"/>
            <a:ext cx="3070860" cy="472440"/>
          </a:xfrm>
          <a:prstGeom prst="roundRect">
            <a:avLst/>
          </a:prstGeom>
          <a:solidFill>
            <a:srgbClr val="B08600"/>
          </a:solidFill>
          <a:ln>
            <a:no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2000" b="1">
                <a:solidFill>
                  <a:schemeClr val="bg1"/>
                </a:solidFill>
              </a:rPr>
              <a:t> 11  Efficience</a:t>
            </a:r>
            <a:r>
              <a:rPr lang="en-US" sz="2000" b="1" baseline="0">
                <a:solidFill>
                  <a:schemeClr val="bg1"/>
                </a:solidFill>
              </a:rPr>
              <a:t> économique</a:t>
            </a:r>
            <a:endParaRPr lang="en-US" sz="900" b="1">
              <a:solidFill>
                <a:schemeClr val="bg1"/>
              </a:solidFill>
            </a:endParaRPr>
          </a:p>
        </xdr:txBody>
      </xdr:sp>
      <xdr:sp macro="" textlink="">
        <xdr:nvSpPr>
          <xdr:cNvPr id="107" name="Organigramme : Connecteur 106"/>
          <xdr:cNvSpPr/>
        </xdr:nvSpPr>
        <xdr:spPr>
          <a:xfrm>
            <a:off x="1981200" y="1386840"/>
            <a:ext cx="350520" cy="320040"/>
          </a:xfrm>
          <a:prstGeom prst="flowChartConnector">
            <a:avLst/>
          </a:prstGeom>
          <a:noFill/>
          <a:ln w="190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0</xdr:col>
      <xdr:colOff>472441</xdr:colOff>
      <xdr:row>23</xdr:row>
      <xdr:rowOff>83820</xdr:rowOff>
    </xdr:from>
    <xdr:to>
      <xdr:col>4</xdr:col>
      <xdr:colOff>213361</xdr:colOff>
      <xdr:row>26</xdr:row>
      <xdr:rowOff>7620</xdr:rowOff>
    </xdr:to>
    <xdr:grpSp>
      <xdr:nvGrpSpPr>
        <xdr:cNvPr id="108" name="Groupe 107"/>
        <xdr:cNvGrpSpPr/>
      </xdr:nvGrpSpPr>
      <xdr:grpSpPr>
        <a:xfrm>
          <a:off x="472441" y="4290060"/>
          <a:ext cx="2910840" cy="472440"/>
          <a:chOff x="7559040" y="1325880"/>
          <a:chExt cx="2910840" cy="472440"/>
        </a:xfrm>
      </xdr:grpSpPr>
      <xdr:sp macro="" textlink="">
        <xdr:nvSpPr>
          <xdr:cNvPr id="109" name="ZoneTexte 108"/>
          <xdr:cNvSpPr txBox="1"/>
        </xdr:nvSpPr>
        <xdr:spPr>
          <a:xfrm>
            <a:off x="7559040" y="1325880"/>
            <a:ext cx="2910840" cy="472440"/>
          </a:xfrm>
          <a:prstGeom prst="roundRect">
            <a:avLst/>
          </a:prstGeom>
          <a:solidFill>
            <a:schemeClr val="accent6">
              <a:lumMod val="50000"/>
            </a:schemeClr>
          </a:solidFill>
          <a:ln>
            <a:no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2000" b="1">
                <a:solidFill>
                  <a:schemeClr val="bg1"/>
                </a:solidFill>
              </a:rPr>
              <a:t> 5  Production</a:t>
            </a:r>
            <a:r>
              <a:rPr lang="en-US" sz="2000" b="1" baseline="0">
                <a:solidFill>
                  <a:schemeClr val="bg1"/>
                </a:solidFill>
              </a:rPr>
              <a:t> fourragère</a:t>
            </a:r>
            <a:endParaRPr lang="en-US" sz="900" b="1">
              <a:solidFill>
                <a:schemeClr val="bg1"/>
              </a:solidFill>
            </a:endParaRPr>
          </a:p>
        </xdr:txBody>
      </xdr:sp>
      <xdr:sp macro="" textlink="">
        <xdr:nvSpPr>
          <xdr:cNvPr id="110" name="Organigramme : Connecteur 109"/>
          <xdr:cNvSpPr/>
        </xdr:nvSpPr>
        <xdr:spPr>
          <a:xfrm>
            <a:off x="7658100" y="1432560"/>
            <a:ext cx="259080" cy="251460"/>
          </a:xfrm>
          <a:prstGeom prst="flowChartConnector">
            <a:avLst/>
          </a:prstGeom>
          <a:noFill/>
          <a:ln w="190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7</xdr:col>
      <xdr:colOff>373381</xdr:colOff>
      <xdr:row>15</xdr:row>
      <xdr:rowOff>121920</xdr:rowOff>
    </xdr:from>
    <xdr:to>
      <xdr:col>8</xdr:col>
      <xdr:colOff>45721</xdr:colOff>
      <xdr:row>17</xdr:row>
      <xdr:rowOff>144325</xdr:rowOff>
    </xdr:to>
    <xdr:sp macro="" textlink="">
      <xdr:nvSpPr>
        <xdr:cNvPr id="111" name="Flèche vers le bas 110"/>
        <xdr:cNvSpPr/>
      </xdr:nvSpPr>
      <xdr:spPr>
        <a:xfrm rot="17956437">
          <a:off x="5959068" y="2826793"/>
          <a:ext cx="388165" cy="464820"/>
        </a:xfrm>
        <a:prstGeom prst="downArrow">
          <a:avLst/>
        </a:prstGeom>
        <a:ln>
          <a:solidFill>
            <a:schemeClr val="bg1">
              <a:lumMod val="50000"/>
            </a:schemeClr>
          </a:solidFill>
        </a:ln>
      </xdr:spPr>
      <xdr:style>
        <a:lnRef idx="3">
          <a:schemeClr val="lt1"/>
        </a:lnRef>
        <a:fillRef idx="1">
          <a:schemeClr val="accent3"/>
        </a:fillRef>
        <a:effectRef idx="1">
          <a:schemeClr val="accent3"/>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448733</xdr:colOff>
      <xdr:row>0</xdr:row>
      <xdr:rowOff>160867</xdr:rowOff>
    </xdr:from>
    <xdr:to>
      <xdr:col>12</xdr:col>
      <xdr:colOff>364067</xdr:colOff>
      <xdr:row>9</xdr:row>
      <xdr:rowOff>177800</xdr:rowOff>
    </xdr:to>
    <xdr:sp macro="" textlink="">
      <xdr:nvSpPr>
        <xdr:cNvPr id="3" name="ZoneTexte 2"/>
        <xdr:cNvSpPr txBox="1"/>
      </xdr:nvSpPr>
      <xdr:spPr>
        <a:xfrm>
          <a:off x="8551333" y="160867"/>
          <a:ext cx="4690534" cy="2785533"/>
        </a:xfrm>
        <a:prstGeom prst="roundRect">
          <a:avLst/>
        </a:prstGeom>
        <a:solidFill>
          <a:schemeClr val="lt1"/>
        </a:solidFill>
        <a:ln w="2857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400" b="1" baseline="0">
              <a:solidFill>
                <a:schemeClr val="dk1"/>
              </a:solidFill>
              <a:latin typeface="+mn-lt"/>
            </a:rPr>
            <a:t>              </a:t>
          </a:r>
          <a:r>
            <a:rPr lang="en-US" sz="1400" b="1">
              <a:solidFill>
                <a:schemeClr val="accent6">
                  <a:lumMod val="75000"/>
                </a:schemeClr>
              </a:solidFill>
              <a:latin typeface="+mn-lt"/>
            </a:rPr>
            <a:t>BON</a:t>
          </a:r>
          <a:r>
            <a:rPr lang="en-US" sz="1400" b="1" baseline="0">
              <a:solidFill>
                <a:schemeClr val="accent6">
                  <a:lumMod val="75000"/>
                </a:schemeClr>
              </a:solidFill>
              <a:latin typeface="+mn-lt"/>
            </a:rPr>
            <a:t> À SAVOIR :</a:t>
          </a:r>
        </a:p>
        <a:p>
          <a:endParaRPr lang="en-US" sz="1400" b="1" baseline="0">
            <a:latin typeface="+mn-lt"/>
          </a:endParaRPr>
        </a:p>
        <a:p>
          <a:r>
            <a:rPr lang="en-US" sz="1400" b="1">
              <a:latin typeface="+mn-lt"/>
            </a:rPr>
            <a:t>Charges opérationnelles affectées </a:t>
          </a:r>
          <a:r>
            <a:rPr lang="en-US" sz="1400">
              <a:latin typeface="+mn-lt"/>
            </a:rPr>
            <a:t>: Ensemble des frais qui varient suivant le volume de production. </a:t>
          </a:r>
        </a:p>
        <a:p>
          <a:r>
            <a:rPr lang="en-US" sz="1100" b="0" i="0" u="none" strike="noStrike">
              <a:solidFill>
                <a:schemeClr val="dk1"/>
              </a:solidFill>
              <a:effectLst/>
              <a:latin typeface="+mn-lt"/>
              <a:ea typeface="+mn-ea"/>
              <a:cs typeface="+mn-cs"/>
            </a:rPr>
            <a:t>         </a:t>
          </a:r>
          <a:r>
            <a:rPr lang="en-US" sz="1200" b="0" i="0" u="none" strike="noStrike">
              <a:solidFill>
                <a:schemeClr val="dk1"/>
              </a:solidFill>
              <a:effectLst/>
              <a:latin typeface="+mn-lt"/>
              <a:ea typeface="+mn-ea"/>
              <a:cs typeface="+mn-cs"/>
            </a:rPr>
            <a:t>Exemples de charges opérationnelles affectées aux superficies fourragères : semences, engrais et amendements, produits phytos, travaux d'entreprise, …</a:t>
          </a:r>
        </a:p>
        <a:p>
          <a:r>
            <a:rPr lang="en-US" sz="1200" b="0" i="0" u="none" strike="noStrike" baseline="0">
              <a:solidFill>
                <a:schemeClr val="dk1"/>
              </a:solidFill>
              <a:effectLst/>
              <a:latin typeface="+mn-lt"/>
              <a:ea typeface="+mn-ea"/>
              <a:cs typeface="+mn-cs"/>
            </a:rPr>
            <a:t>         Exemples d'autres charges opérationnelles affectées au bétail : Aliments, frais de reproduction, de vétérinaire et de médicaments, cotisations cheptel, …</a:t>
          </a:r>
        </a:p>
        <a:p>
          <a:r>
            <a:rPr lang="en-US" sz="1400" b="1">
              <a:latin typeface="+mn-lt"/>
            </a:rPr>
            <a:t>Marge brute</a:t>
          </a:r>
          <a:r>
            <a:rPr lang="en-US" sz="1400" b="0">
              <a:latin typeface="+mn-lt"/>
            </a:rPr>
            <a:t> : Ce sont les produits de l’exploitation dont on déduit les charges opérationnelles affectées.</a:t>
          </a:r>
          <a:endParaRPr lang="en-US" sz="1400" b="1">
            <a:latin typeface="+mn-lt"/>
          </a:endParaRPr>
        </a:p>
      </xdr:txBody>
    </xdr:sp>
    <xdr:clientData/>
  </xdr:twoCellAnchor>
  <xdr:twoCellAnchor>
    <xdr:from>
      <xdr:col>6</xdr:col>
      <xdr:colOff>152403</xdr:colOff>
      <xdr:row>9</xdr:row>
      <xdr:rowOff>84656</xdr:rowOff>
    </xdr:from>
    <xdr:to>
      <xdr:col>6</xdr:col>
      <xdr:colOff>711203</xdr:colOff>
      <xdr:row>10</xdr:row>
      <xdr:rowOff>169333</xdr:rowOff>
    </xdr:to>
    <xdr:sp macro="" textlink="">
      <xdr:nvSpPr>
        <xdr:cNvPr id="4" name="Organigramme : Connecteur 3"/>
        <xdr:cNvSpPr/>
      </xdr:nvSpPr>
      <xdr:spPr>
        <a:xfrm>
          <a:off x="8255003" y="2853256"/>
          <a:ext cx="558800" cy="541877"/>
        </a:xfrm>
        <a:prstGeom prst="flowChartConnector">
          <a:avLst/>
        </a:prstGeom>
        <a:noFill/>
        <a:ln w="28575">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347133</xdr:colOff>
      <xdr:row>11</xdr:row>
      <xdr:rowOff>42333</xdr:rowOff>
    </xdr:from>
    <xdr:to>
      <xdr:col>5</xdr:col>
      <xdr:colOff>694267</xdr:colOff>
      <xdr:row>12</xdr:row>
      <xdr:rowOff>118533</xdr:rowOff>
    </xdr:to>
    <xdr:sp macro="" textlink="">
      <xdr:nvSpPr>
        <xdr:cNvPr id="5" name="Organigramme : Connecteur 4"/>
        <xdr:cNvSpPr/>
      </xdr:nvSpPr>
      <xdr:spPr>
        <a:xfrm>
          <a:off x="7653866" y="3725333"/>
          <a:ext cx="347134" cy="347133"/>
        </a:xfrm>
        <a:prstGeom prst="flowChartConnector">
          <a:avLst/>
        </a:prstGeom>
        <a:noFill/>
        <a:ln w="28575">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101599</xdr:colOff>
      <xdr:row>12</xdr:row>
      <xdr:rowOff>16933</xdr:rowOff>
    </xdr:from>
    <xdr:to>
      <xdr:col>5</xdr:col>
      <xdr:colOff>321734</xdr:colOff>
      <xdr:row>12</xdr:row>
      <xdr:rowOff>254000</xdr:rowOff>
    </xdr:to>
    <xdr:sp macro="" textlink="">
      <xdr:nvSpPr>
        <xdr:cNvPr id="6" name="Organigramme : Connecteur 5"/>
        <xdr:cNvSpPr/>
      </xdr:nvSpPr>
      <xdr:spPr>
        <a:xfrm>
          <a:off x="7408332" y="3970866"/>
          <a:ext cx="220135" cy="237067"/>
        </a:xfrm>
        <a:prstGeom prst="flowChartConnector">
          <a:avLst/>
        </a:prstGeom>
        <a:noFill/>
        <a:ln w="28575">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6</xdr:col>
      <xdr:colOff>716431</xdr:colOff>
      <xdr:row>0</xdr:row>
      <xdr:rowOff>228602</xdr:rowOff>
    </xdr:from>
    <xdr:to>
      <xdr:col>7</xdr:col>
      <xdr:colOff>330200</xdr:colOff>
      <xdr:row>1</xdr:row>
      <xdr:rowOff>26578</xdr:rowOff>
    </xdr:to>
    <xdr:pic>
      <xdr:nvPicPr>
        <xdr:cNvPr id="9" name="Image 8" descr="RÃ©sultat de recherche d'images pour &quot;ampoule idÃ©e&quo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30698" y="228602"/>
          <a:ext cx="409636" cy="4583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740833</xdr:colOff>
      <xdr:row>3</xdr:row>
      <xdr:rowOff>16940</xdr:rowOff>
    </xdr:from>
    <xdr:to>
      <xdr:col>7</xdr:col>
      <xdr:colOff>127000</xdr:colOff>
      <xdr:row>3</xdr:row>
      <xdr:rowOff>127003</xdr:rowOff>
    </xdr:to>
    <xdr:sp macro="" textlink="">
      <xdr:nvSpPr>
        <xdr:cNvPr id="10" name="Flèche à angle droit 9"/>
        <xdr:cNvSpPr/>
      </xdr:nvSpPr>
      <xdr:spPr>
        <a:xfrm rot="5400000">
          <a:off x="9091085" y="1208622"/>
          <a:ext cx="110063" cy="182033"/>
        </a:xfrm>
        <a:prstGeom prst="bentUpArrow">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749294</xdr:colOff>
      <xdr:row>5</xdr:row>
      <xdr:rowOff>76206</xdr:rowOff>
    </xdr:from>
    <xdr:to>
      <xdr:col>7</xdr:col>
      <xdr:colOff>143933</xdr:colOff>
      <xdr:row>5</xdr:row>
      <xdr:rowOff>186269</xdr:rowOff>
    </xdr:to>
    <xdr:sp macro="" textlink="">
      <xdr:nvSpPr>
        <xdr:cNvPr id="11" name="Flèche à angle droit 10"/>
        <xdr:cNvSpPr/>
      </xdr:nvSpPr>
      <xdr:spPr>
        <a:xfrm rot="5400000">
          <a:off x="9103782" y="1771652"/>
          <a:ext cx="110063" cy="190505"/>
        </a:xfrm>
        <a:prstGeom prst="bentUpArrow">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660401</xdr:colOff>
      <xdr:row>10</xdr:row>
      <xdr:rowOff>143932</xdr:rowOff>
    </xdr:from>
    <xdr:to>
      <xdr:col>6</xdr:col>
      <xdr:colOff>313268</xdr:colOff>
      <xdr:row>11</xdr:row>
      <xdr:rowOff>135467</xdr:rowOff>
    </xdr:to>
    <xdr:sp macro="" textlink="">
      <xdr:nvSpPr>
        <xdr:cNvPr id="12" name="Organigramme : Connecteur 11"/>
        <xdr:cNvSpPr/>
      </xdr:nvSpPr>
      <xdr:spPr>
        <a:xfrm>
          <a:off x="7967134" y="3369732"/>
          <a:ext cx="448734" cy="448735"/>
        </a:xfrm>
        <a:prstGeom prst="flowChartConnector">
          <a:avLst/>
        </a:prstGeom>
        <a:noFill/>
        <a:ln w="28575">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412569</xdr:colOff>
      <xdr:row>9</xdr:row>
      <xdr:rowOff>108857</xdr:rowOff>
    </xdr:from>
    <xdr:to>
      <xdr:col>0</xdr:col>
      <xdr:colOff>1446712</xdr:colOff>
      <xdr:row>12</xdr:row>
      <xdr:rowOff>119742</xdr:rowOff>
    </xdr:to>
    <xdr:sp macro="" textlink="">
      <xdr:nvSpPr>
        <xdr:cNvPr id="2" name="Flèche droite 1"/>
        <xdr:cNvSpPr/>
      </xdr:nvSpPr>
      <xdr:spPr>
        <a:xfrm>
          <a:off x="412569" y="2752997"/>
          <a:ext cx="1034143" cy="887185"/>
        </a:xfrm>
        <a:prstGeom prst="rightArrow">
          <a:avLst/>
        </a:prstGeom>
        <a:solidFill>
          <a:srgbClr val="C00000"/>
        </a:solidFill>
        <a:ln>
          <a:solidFill>
            <a:srgbClr val="A8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1</xdr:colOff>
      <xdr:row>9</xdr:row>
      <xdr:rowOff>97972</xdr:rowOff>
    </xdr:from>
    <xdr:to>
      <xdr:col>6</xdr:col>
      <xdr:colOff>1034144</xdr:colOff>
      <xdr:row>12</xdr:row>
      <xdr:rowOff>108857</xdr:rowOff>
    </xdr:to>
    <xdr:sp macro="" textlink="">
      <xdr:nvSpPr>
        <xdr:cNvPr id="3" name="Flèche droite 2"/>
        <xdr:cNvSpPr/>
      </xdr:nvSpPr>
      <xdr:spPr>
        <a:xfrm rot="10800000">
          <a:off x="12442372" y="3320143"/>
          <a:ext cx="1034143" cy="892628"/>
        </a:xfrm>
        <a:prstGeom prst="rightArrow">
          <a:avLst/>
        </a:prstGeom>
        <a:solidFill>
          <a:srgbClr val="C00000"/>
        </a:solidFill>
        <a:ln>
          <a:solidFill>
            <a:srgbClr val="A8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ables/table1.xml><?xml version="1.0" encoding="utf-8"?>
<table xmlns="http://schemas.openxmlformats.org/spreadsheetml/2006/main" id="1" name="Tableau1" displayName="Tableau1" ref="B3:L104" totalsRowShown="0" headerRowDxfId="154" dataDxfId="152" headerRowBorderDxfId="153" tableBorderDxfId="151">
  <autoFilter ref="B3:L10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Types de cultures" dataDxfId="150"/>
    <tableColumn id="2" name="Description" dataDxfId="149"/>
    <tableColumn id="3" name="Superficie (Ha)" dataDxfId="148"/>
    <tableColumn id="4" name="Rdmt (T/Ha)" dataDxfId="147">
      <calculatedColumnFormula>SUM(Tableau1[Rdmt (T/Ha)])</calculatedColumnFormula>
    </tableColumn>
    <tableColumn id="5" name="Rdmt MF" dataDxfId="146"/>
    <tableColumn id="6" name="% MS" dataDxfId="145" dataCellStyle="Pourcentage"/>
    <tableColumn id="7" name="T de MS" dataDxfId="144"/>
    <tableColumn id="8" name="VEM/kg de MS" dataDxfId="143"/>
    <tableColumn id="11" name="VEM Totaux" dataDxfId="142"/>
    <tableColumn id="9" name="g de DVE/kg de MS" dataDxfId="141"/>
    <tableColumn id="10" name="DVE Totaux" dataDxfId="140"/>
  </tableColumns>
  <tableStyleInfo name="TableStyleMedium2" showFirstColumn="0" showLastColumn="0" showRowStripes="1" showColumnStripes="0"/>
</table>
</file>

<file path=xl/tables/table10.xml><?xml version="1.0" encoding="utf-8"?>
<table xmlns="http://schemas.openxmlformats.org/spreadsheetml/2006/main" id="10" name="Tableau51011" displayName="Tableau51011" ref="B11:K15" totalsRowShown="0" headerRowDxfId="70" headerRowBorderDxfId="69" tableBorderDxfId="68">
  <autoFilter ref="B11:K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Fourrages"/>
    <tableColumn id="2" name="Quantités (T)" dataDxfId="67">
      <calculatedColumnFormula>SUM(C10:C11)</calculatedColumnFormula>
    </tableColumn>
    <tableColumn id="3" name="% MS"/>
    <tableColumn id="4" name=" T de MS"/>
    <tableColumn id="5" name="VEM/kg de MS" dataDxfId="66">
      <calculatedColumnFormula>SUM(#REF!)</calculatedColumnFormula>
    </tableColumn>
    <tableColumn id="9" name="VEM Totaux" dataDxfId="65"/>
    <tableColumn id="6" name="g de DVE/kg de MS" dataDxfId="64">
      <calculatedColumnFormula>SUM(#REF!)</calculatedColumnFormula>
    </tableColumn>
    <tableColumn id="10" name="Kg de DVE Totaux" dataDxfId="63"/>
    <tableColumn id="7" name="Prix (€/T)" dataDxfId="62">
      <calculatedColumnFormula>SUM(#REF!)</calculatedColumnFormula>
    </tableColumn>
    <tableColumn id="8" name="Coûts d'achat (€)" dataDxfId="61">
      <calculatedColumnFormula>SUM(I10,#REF!,K11)</calculatedColumnFormula>
    </tableColumn>
  </tableColumns>
  <tableStyleInfo name="TableStyleMedium2" showFirstColumn="0" showLastColumn="0" showRowStripes="1" showColumnStripes="0"/>
</table>
</file>

<file path=xl/tables/table11.xml><?xml version="1.0" encoding="utf-8"?>
<table xmlns="http://schemas.openxmlformats.org/spreadsheetml/2006/main" id="11" name="Tableau5101112" displayName="Tableau5101112" ref="B17:K22" totalsRowShown="0" headerRowDxfId="60" headerRowBorderDxfId="59" tableBorderDxfId="58">
  <autoFilter ref="B17:K2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Céréales"/>
    <tableColumn id="2" name="Quantités (T)" dataDxfId="57">
      <calculatedColumnFormula>SUM(C16:C17)</calculatedColumnFormula>
    </tableColumn>
    <tableColumn id="3" name="% MS"/>
    <tableColumn id="4" name=" T de MS"/>
    <tableColumn id="5" name="VEM/kg de MS" dataDxfId="56">
      <calculatedColumnFormula>SUM(F15:F17)</calculatedColumnFormula>
    </tableColumn>
    <tableColumn id="10" name="VEM Totaux" dataDxfId="55"/>
    <tableColumn id="6" name="g de DVE/kg de MS" dataDxfId="54">
      <calculatedColumnFormula>SUM(#REF!)</calculatedColumnFormula>
    </tableColumn>
    <tableColumn id="9" name="Kg de DVE Totaux" dataDxfId="53"/>
    <tableColumn id="7" name="Prix (€/T)" dataDxfId="52">
      <calculatedColumnFormula>SUM(H15:H17)</calculatedColumnFormula>
    </tableColumn>
    <tableColumn id="8" name="Coûts d'achat (€)" dataDxfId="51">
      <calculatedColumnFormula>SUM(I15:I17)</calculatedColumnFormula>
    </tableColumn>
  </tableColumns>
  <tableStyleInfo name="TableStyleMedium2" showFirstColumn="0" showLastColumn="0" showRowStripes="1" showColumnStripes="0"/>
</table>
</file>

<file path=xl/tables/table12.xml><?xml version="1.0" encoding="utf-8"?>
<table xmlns="http://schemas.openxmlformats.org/spreadsheetml/2006/main" id="12" name="Tableau5101113" displayName="Tableau5101113" ref="B24:K30" totalsRowShown="0" headerRowDxfId="50" headerRowBorderDxfId="49" tableBorderDxfId="48">
  <autoFilter ref="B24:K3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Paille"/>
    <tableColumn id="2" name="Quantités (T)" dataDxfId="47">
      <calculatedColumnFormula>SUM(C21:C24)</calculatedColumnFormula>
    </tableColumn>
    <tableColumn id="3" name="% MS"/>
    <tableColumn id="4" name=" T de MS"/>
    <tableColumn id="5" name="VEM/kg de MS" dataDxfId="46">
      <calculatedColumnFormula>SUM(F23:F24)</calculatedColumnFormula>
    </tableColumn>
    <tableColumn id="9" name="VEM Totaux" dataDxfId="45"/>
    <tableColumn id="6" name="g de DVE/kg de MS" dataDxfId="44">
      <calculatedColumnFormula>SUM(G23:G24)</calculatedColumnFormula>
    </tableColumn>
    <tableColumn id="10" name="Kg de DVE Totaux" dataDxfId="43"/>
    <tableColumn id="7" name="Prix (€/T)" dataDxfId="42">
      <calculatedColumnFormula>SUM(H23:H24)</calculatedColumnFormula>
    </tableColumn>
    <tableColumn id="8" name="Coûts d'achat (€)" dataDxfId="41">
      <calculatedColumnFormula>SUM(I21:I24)</calculatedColumnFormula>
    </tableColumn>
  </tableColumns>
  <tableStyleInfo name="TableStyleMedium2" showFirstColumn="0" showLastColumn="0" showRowStripes="1" showColumnStripes="0"/>
</table>
</file>

<file path=xl/tables/table13.xml><?xml version="1.0" encoding="utf-8"?>
<table xmlns="http://schemas.openxmlformats.org/spreadsheetml/2006/main" id="13" name="Tableau510111314" displayName="Tableau510111314" ref="B32:K36" totalsRowShown="0" headerRowDxfId="40" headerRowBorderDxfId="39" tableBorderDxfId="38">
  <autoFilter ref="B32:K3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Co-produits de l'industrie"/>
    <tableColumn id="2" name="Quantités (T)" dataDxfId="37">
      <calculatedColumnFormula>SUM(C31:C32)</calculatedColumnFormula>
    </tableColumn>
    <tableColumn id="3" name="% MS"/>
    <tableColumn id="4" name=" T de MS"/>
    <tableColumn id="5" name="VEM/kg de MS" dataDxfId="36">
      <calculatedColumnFormula>SUM(F31:F32)</calculatedColumnFormula>
    </tableColumn>
    <tableColumn id="10" name="VEM Totaux" dataDxfId="35"/>
    <tableColumn id="6" name="g de DVE/kg de MS" dataDxfId="34">
      <calculatedColumnFormula>SUM(G31:G32)</calculatedColumnFormula>
    </tableColumn>
    <tableColumn id="9" name="Kg de DVE Totaux" dataDxfId="33"/>
    <tableColumn id="7" name="Prix (€/T)" dataDxfId="32">
      <calculatedColumnFormula>SUM(H31:H32)</calculatedColumnFormula>
    </tableColumn>
    <tableColumn id="8" name="Coûts d'achat (€)" dataDxfId="31">
      <calculatedColumnFormula>SUM(I31:I32)</calculatedColumnFormula>
    </tableColumn>
  </tableColumns>
  <tableStyleInfo name="TableStyleMedium2" showFirstColumn="0" showLastColumn="0" showRowStripes="1" showColumnStripes="0"/>
</table>
</file>

<file path=xl/tables/table14.xml><?xml version="1.0" encoding="utf-8"?>
<table xmlns="http://schemas.openxmlformats.org/spreadsheetml/2006/main" id="14" name="Tableau510111215" displayName="Tableau510111215" ref="B4:K9" totalsRowShown="0" headerRowDxfId="30" headerRowBorderDxfId="29" tableBorderDxfId="28">
  <autoFilter ref="B4:K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Concentrés"/>
    <tableColumn id="2" name="Quantités (T)" dataDxfId="27"/>
    <tableColumn id="3" name="% MS"/>
    <tableColumn id="4" name=" T de MS"/>
    <tableColumn id="5" name="VEM/kg de MS" dataDxfId="26"/>
    <tableColumn id="9" name="VEM Totaux" dataDxfId="25"/>
    <tableColumn id="6" name="g de DVE/kg de MS" dataDxfId="24">
      <calculatedColumnFormula>SUM(#REF!)</calculatedColumnFormula>
    </tableColumn>
    <tableColumn id="10" name="Kg de DVE Totaux" dataDxfId="23"/>
    <tableColumn id="7" name="Prix (€/T)" dataDxfId="22">
      <calculatedColumnFormula>SUM(H4:H4)</calculatedColumnFormula>
    </tableColumn>
    <tableColumn id="8" name="Coûts d'achat (€)" dataDxfId="21">
      <calculatedColumnFormula>SUM(#REF!,#REF!,#REF!,K4,)</calculatedColumnFormula>
    </tableColumn>
  </tableColumns>
  <tableStyleInfo name="TableStyleMedium2" showFirstColumn="0" showLastColumn="0" showRowStripes="1" showColumnStripes="0"/>
</table>
</file>

<file path=xl/tables/table15.xml><?xml version="1.0" encoding="utf-8"?>
<table xmlns="http://schemas.openxmlformats.org/spreadsheetml/2006/main" id="5" name="Tableau5" displayName="Tableau5" ref="B39:G45" totalsRowShown="0" headerRowDxfId="20" headerRowBorderDxfId="19" tableBorderDxfId="18">
  <autoFilter ref="B39:G45"/>
  <tableColumns count="6">
    <tableColumn id="1" name="Achats"/>
    <tableColumn id="2" name="Quantités (T)"/>
    <tableColumn id="4" name=" T de MS"/>
    <tableColumn id="5" name="VEM Totaux" dataDxfId="17">
      <calculatedColumnFormula>SUM(F38:F39)</calculatedColumnFormula>
    </tableColumn>
    <tableColumn id="6" name="Kg de DVE Totaux" dataDxfId="16">
      <calculatedColumnFormula>SUM(G38:G39)</calculatedColumnFormula>
    </tableColumn>
    <tableColumn id="7" name="Coûts d'achat (€)" dataDxfId="15">
      <calculatedColumnFormula>SUM(H2:H3)</calculatedColumnFormula>
    </tableColumn>
  </tableColumns>
  <tableStyleInfo name="TableStyleMedium2" showFirstColumn="0" showLastColumn="0" showRowStripes="1" showColumnStripes="0"/>
</table>
</file>

<file path=xl/tables/table16.xml><?xml version="1.0" encoding="utf-8"?>
<table xmlns="http://schemas.openxmlformats.org/spreadsheetml/2006/main" id="16" name="Tableau16" displayName="Tableau16" ref="B3:K59" totalsRowShown="0" headerRowDxfId="14" dataDxfId="12" headerRowBorderDxfId="13" tableBorderDxfId="11" totalsRowBorderDxfId="10">
  <autoFilter ref="B3:K5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Aliments" dataDxfId="9"/>
    <tableColumn id="9" name="%MS" dataDxfId="8"/>
    <tableColumn id="2" name="VEM" dataDxfId="7"/>
    <tableColumn id="3" name="VEVI" dataDxfId="6"/>
    <tableColumn id="4" name="DVE" dataDxfId="5"/>
    <tableColumn id="5" name="Aliments " dataDxfId="4"/>
    <tableColumn id="10" name="%MS " dataDxfId="3"/>
    <tableColumn id="6" name="VEM " dataDxfId="2"/>
    <tableColumn id="7" name="VEVI " dataDxfId="1"/>
    <tableColumn id="8" name="DVE " dataDxfId="0"/>
  </tableColumns>
  <tableStyleInfo name="TableStyleMedium2" showFirstColumn="0" showLastColumn="0" showRowStripes="1" showColumnStripes="0"/>
</table>
</file>

<file path=xl/tables/table2.xml><?xml version="1.0" encoding="utf-8"?>
<table xmlns="http://schemas.openxmlformats.org/spreadsheetml/2006/main" id="2" name="Tableau2" displayName="Tableau2" ref="B4:J31" totalsRowShown="0" headerRowDxfId="139" headerRowBorderDxfId="138" tableBorderDxfId="137">
  <autoFilter ref="B4:J3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Type de prairie"/>
    <tableColumn id="9" name="Nom du morceau"/>
    <tableColumn id="2" name="Superficie (Ha)" dataDxfId="136"/>
    <tableColumn id="3" name="Nbre jours Pâturés"/>
    <tableColumn id="4" name="Rdmt moyen en fonction de la région agricole(T MS/Ha)"/>
    <tableColumn id="5" name="Qualité Herbe"/>
    <tableColumn id="6" name="Rdmt MS"/>
    <tableColumn id="7" name="Production énergétique"/>
    <tableColumn id="8" name="Production protéique"/>
  </tableColumns>
  <tableStyleInfo name="TableStyleMedium2" showFirstColumn="0" showLastColumn="0" showRowStripes="1" showColumnStripes="0"/>
</table>
</file>

<file path=xl/tables/table3.xml><?xml version="1.0" encoding="utf-8"?>
<table xmlns="http://schemas.openxmlformats.org/spreadsheetml/2006/main" id="3" name="Tableau3" displayName="Tableau3" ref="L3:P13" totalsRowShown="0" headerRowDxfId="135" dataDxfId="133" headerRowBorderDxfId="134">
  <autoFilter ref="L3:P13">
    <filterColumn colId="0" hiddenButton="1"/>
    <filterColumn colId="1" hiddenButton="1"/>
    <filterColumn colId="2" hiddenButton="1"/>
    <filterColumn colId="3" hiddenButton="1"/>
    <filterColumn colId="4" hiddenButton="1"/>
  </autoFilter>
  <tableColumns count="5">
    <tableColumn id="1" name="Régions agricoles" dataDxfId="132"/>
    <tableColumn id="2" name="Rendement" dataDxfId="131"/>
    <tableColumn id="3" name="Moyenne" dataDxfId="130"/>
    <tableColumn id="4" name="Rendement " dataDxfId="129"/>
    <tableColumn id="5" name="Moyenne " dataDxfId="128"/>
  </tableColumns>
  <tableStyleInfo name="TableStyleMedium2" showFirstColumn="0" showLastColumn="0" showRowStripes="1" showColumnStripes="0"/>
</table>
</file>

<file path=xl/tables/table4.xml><?xml version="1.0" encoding="utf-8"?>
<table xmlns="http://schemas.openxmlformats.org/spreadsheetml/2006/main" id="9" name="Tableau51011121510" displayName="Tableau51011121510" ref="B3:I11" totalsRowShown="0" headerRowDxfId="127" headerRowBorderDxfId="126" tableBorderDxfId="125">
  <autoFilter ref="B3:I1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Stock" dataDxfId="124"/>
    <tableColumn id="2" name="Quantités (T)" dataDxfId="123">
      <calculatedColumnFormula>SUM(C3:C3)</calculatedColumnFormula>
    </tableColumn>
    <tableColumn id="3" name="% MS"/>
    <tableColumn id="4" name=" T de MS"/>
    <tableColumn id="5" name="VEM/kg de MS" dataDxfId="122">
      <calculatedColumnFormula>SUM(F3:F3)</calculatedColumnFormula>
    </tableColumn>
    <tableColumn id="7" name="VEM Totaux" dataDxfId="121"/>
    <tableColumn id="6" name="g de DVE/kg de MS" dataDxfId="120">
      <calculatedColumnFormula>SUM(#REF!)</calculatedColumnFormula>
    </tableColumn>
    <tableColumn id="8" name="Kg de DVE Totaux" dataDxfId="119"/>
  </tableColumns>
  <tableStyleInfo name="TableStyleMedium2" showFirstColumn="0" showLastColumn="0" showRowStripes="1" showColumnStripes="0"/>
</table>
</file>

<file path=xl/tables/table5.xml><?xml version="1.0" encoding="utf-8"?>
<table xmlns="http://schemas.openxmlformats.org/spreadsheetml/2006/main" id="6" name="Tableau6" displayName="Tableau6" ref="B3:L17" totalsRowShown="0" headerRowDxfId="118" headerRowBorderDxfId="117" tableBorderDxfId="116">
  <autoFilter ref="B3:L1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inventaire du troupeau" dataDxfId="115"/>
    <tableColumn id="2" name="Nbre d'animaux" dataDxfId="114"/>
    <tableColumn id="3" name="Valeurs UGB alimentaires" dataDxfId="113"/>
    <tableColumn id="4" name="Nbre d'UGB" dataDxfId="112"/>
    <tableColumn id="5" name="Poids moyen animal (Kg)" dataDxfId="111"/>
    <tableColumn id="6" name="Production laitière/vache/jour (Kg)" dataDxfId="110"/>
    <tableColumn id="7" name="Taux de MG du lait (%)" dataDxfId="109"/>
    <tableColumn id="8" name="Taux protéique du lait (%)" dataDxfId="108"/>
    <tableColumn id="9" name="Ingestion (Kg MS/an)" dataDxfId="107"/>
    <tableColumn id="10" name="Ingestion VEM/an" dataDxfId="106"/>
    <tableColumn id="11" name="Ingestion g DVE/an" dataDxfId="105"/>
  </tableColumns>
  <tableStyleInfo name="TableStyleMedium2" showFirstColumn="0" showLastColumn="0" showRowStripes="1" showColumnStripes="0"/>
</table>
</file>

<file path=xl/tables/table6.xml><?xml version="1.0" encoding="utf-8"?>
<table xmlns="http://schemas.openxmlformats.org/spreadsheetml/2006/main" id="7" name="Tableau7" displayName="Tableau7" ref="B4:H22" totalsRowShown="0" headerRowDxfId="104" headerRowBorderDxfId="103" tableBorderDxfId="102">
  <autoFilter ref="B4:H2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Inventaire du troupeau" dataDxfId="101"/>
    <tableColumn id="2" name="Nbre d'animaux" dataDxfId="100"/>
    <tableColumn id="3" name="Valeurs UGB alimentaires" dataDxfId="99"/>
    <tableColumn id="4" name="Nbre d'UGB" dataDxfId="98"/>
    <tableColumn id="6" name="Ingestion (Kg MS/an)" dataDxfId="97"/>
    <tableColumn id="7" name="Ingestion VEM/an" dataDxfId="96"/>
    <tableColumn id="8" name="Ingestion g DVE/an" dataDxfId="95"/>
  </tableColumns>
  <tableStyleInfo name="TableStyleMedium2" showFirstColumn="0" showLastColumn="0" showRowStripes="1" showColumnStripes="0"/>
</table>
</file>

<file path=xl/tables/table7.xml><?xml version="1.0" encoding="utf-8"?>
<table xmlns="http://schemas.openxmlformats.org/spreadsheetml/2006/main" id="8" name="Tableau8" displayName="Tableau8" ref="B24:H43" totalsRowShown="0" headerRowDxfId="94" tableBorderDxfId="93">
  <autoFilter ref="B24:H4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Inventaire du troupeau" dataDxfId="92"/>
    <tableColumn id="2" name="Nbre d'animaux" dataDxfId="91"/>
    <tableColumn id="3" name="Valeurs UGB alimentaires" dataDxfId="90"/>
    <tableColumn id="4" name="Nbre d'UGB" dataDxfId="89"/>
    <tableColumn id="6" name="Ingestion (Kg MS/an)" dataDxfId="88"/>
    <tableColumn id="7" name="Ingestion VEM/an" dataDxfId="87"/>
    <tableColumn id="8" name="Ingestion g DVE/an" dataDxfId="86"/>
  </tableColumns>
  <tableStyleInfo name="TableStyleMedium2" showFirstColumn="0" showLastColumn="0" showRowStripes="1" showColumnStripes="0"/>
</table>
</file>

<file path=xl/tables/table8.xml><?xml version="1.0" encoding="utf-8"?>
<table xmlns="http://schemas.openxmlformats.org/spreadsheetml/2006/main" id="15" name="Tableau15" displayName="Tableau15" ref="B3:E11" totalsRowShown="0" headerRowDxfId="85" headerRowBorderDxfId="84" tableBorderDxfId="83" totalsRowBorderDxfId="82">
  <autoFilter ref="B3:E11">
    <filterColumn colId="0" hiddenButton="1"/>
    <filterColumn colId="1" hiddenButton="1"/>
    <filterColumn colId="2" hiddenButton="1"/>
    <filterColumn colId="3" hiddenButton="1"/>
  </autoFilter>
  <tableColumns count="4">
    <tableColumn id="1" name="Colonne1" dataDxfId="81"/>
    <tableColumn id="2" name="Nbre d'animaux" dataDxfId="80"/>
    <tableColumn id="3" name="Valeur UGB" dataDxfId="79"/>
    <tableColumn id="4" name="Nbre d'UGB" dataDxfId="78"/>
  </tableColumns>
  <tableStyleInfo name="TableStyleMedium2" showFirstColumn="0" showLastColumn="0" showRowStripes="1" showColumnStripes="0"/>
</table>
</file>

<file path=xl/tables/table9.xml><?xml version="1.0" encoding="utf-8"?>
<table xmlns="http://schemas.openxmlformats.org/spreadsheetml/2006/main" id="4" name="Tableau4" displayName="Tableau4" ref="B3:F21" totalsRowShown="0" headerRowDxfId="77" headerRowBorderDxfId="76" tableBorderDxfId="75">
  <autoFilter ref="B3:F21">
    <filterColumn colId="0" hiddenButton="1"/>
    <filterColumn colId="1" hiddenButton="1"/>
    <filterColumn colId="2" hiddenButton="1"/>
    <filterColumn colId="3" hiddenButton="1"/>
    <filterColumn colId="4" hiddenButton="1"/>
  </autoFilter>
  <tableColumns count="5">
    <tableColumn id="1" name="Type de culture" dataDxfId="74"/>
    <tableColumn id="2" name="Charges variables/an" dataDxfId="73"/>
    <tableColumn id="3" name="CV/Ha" dataDxfId="72"/>
    <tableColumn id="4" name="CV/T MF"/>
    <tableColumn id="5" name="CV/T MS" dataDxfId="71"/>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vmlDrawing" Target="../drawings/vmlDrawing6.vml"/><Relationship Id="rId1" Type="http://schemas.openxmlformats.org/officeDocument/2006/relationships/printerSettings" Target="../printerSettings/printerSettings7.bin"/><Relationship Id="rId5" Type="http://schemas.openxmlformats.org/officeDocument/2006/relationships/comments" Target="../comments6.xml"/><Relationship Id="rId4"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vmlDrawing" Target="../drawings/vmlDrawing7.v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_rels/sheet13.xml.rels><?xml version="1.0" encoding="UTF-8" standalone="yes"?>
<Relationships xmlns="http://schemas.openxmlformats.org/package/2006/relationships"><Relationship Id="rId8" Type="http://schemas.openxmlformats.org/officeDocument/2006/relationships/table" Target="../tables/table15.xml"/><Relationship Id="rId3" Type="http://schemas.openxmlformats.org/officeDocument/2006/relationships/table" Target="../tables/table10.xml"/><Relationship Id="rId7" Type="http://schemas.openxmlformats.org/officeDocument/2006/relationships/table" Target="../tables/table14.xml"/><Relationship Id="rId2" Type="http://schemas.openxmlformats.org/officeDocument/2006/relationships/vmlDrawing" Target="../drawings/vmlDrawing8.vml"/><Relationship Id="rId1" Type="http://schemas.openxmlformats.org/officeDocument/2006/relationships/printerSettings" Target="../printerSettings/printerSettings10.bin"/><Relationship Id="rId6" Type="http://schemas.openxmlformats.org/officeDocument/2006/relationships/table" Target="../tables/table13.xml"/><Relationship Id="rId5" Type="http://schemas.openxmlformats.org/officeDocument/2006/relationships/table" Target="../tables/table12.xml"/><Relationship Id="rId4" Type="http://schemas.openxmlformats.org/officeDocument/2006/relationships/table" Target="../tables/table11.xml"/><Relationship Id="rId9" Type="http://schemas.openxmlformats.org/officeDocument/2006/relationships/comments" Target="../comments8.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4.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table" Target="../tables/table16.xml"/><Relationship Id="rId1" Type="http://schemas.openxmlformats.org/officeDocument/2006/relationships/vmlDrawing" Target="../drawings/vmlDrawing10.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3.vml"/><Relationship Id="rId1" Type="http://schemas.openxmlformats.org/officeDocument/2006/relationships/printerSettings" Target="../printerSettings/printerSettings5.bin"/><Relationship Id="rId5" Type="http://schemas.openxmlformats.org/officeDocument/2006/relationships/comments" Target="../comments3.xml"/><Relationship Id="rId4" Type="http://schemas.openxmlformats.org/officeDocument/2006/relationships/table" Target="../tables/table3.x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table" Target="../tables/table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vmlDrawing" Target="../drawings/vmlDrawing5.v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rgb="FF02BBE0"/>
  </sheetPr>
  <dimension ref="A1:Q38"/>
  <sheetViews>
    <sheetView showGridLines="0" tabSelected="1" topLeftCell="A2" zoomScale="80" zoomScaleNormal="80" workbookViewId="0">
      <selection activeCell="R23" sqref="R23"/>
    </sheetView>
  </sheetViews>
  <sheetFormatPr baseColWidth="10" defaultRowHeight="14.4" x14ac:dyDescent="0.3"/>
  <cols>
    <col min="1" max="1" width="0.77734375" customWidth="1"/>
    <col min="4" max="4" width="28" customWidth="1"/>
    <col min="11" max="11" width="17.21875" customWidth="1"/>
    <col min="12" max="12" width="13.77734375" customWidth="1"/>
    <col min="17" max="17" width="19.88671875" customWidth="1"/>
  </cols>
  <sheetData>
    <row r="1" spans="1:17" s="20" customFormat="1" ht="3.6" customHeight="1" x14ac:dyDescent="0.3"/>
    <row r="2" spans="1:17" ht="18.600000000000001" customHeight="1" x14ac:dyDescent="0.7">
      <c r="A2" s="17"/>
      <c r="B2" s="522" t="s">
        <v>284</v>
      </c>
      <c r="C2" s="522"/>
      <c r="D2" s="522"/>
      <c r="E2" s="522"/>
      <c r="F2" s="522"/>
      <c r="G2" s="522"/>
      <c r="H2" s="522"/>
      <c r="I2" s="522"/>
      <c r="J2" s="522"/>
      <c r="K2" s="522"/>
      <c r="L2" s="522"/>
      <c r="M2" s="522"/>
      <c r="N2" s="522"/>
      <c r="O2" s="522"/>
      <c r="P2" s="522"/>
      <c r="Q2" s="522"/>
    </row>
    <row r="3" spans="1:17" ht="14.4" customHeight="1" x14ac:dyDescent="0.3">
      <c r="B3" s="522"/>
      <c r="C3" s="522"/>
      <c r="D3" s="522"/>
      <c r="E3" s="522"/>
      <c r="F3" s="522"/>
      <c r="G3" s="522"/>
      <c r="H3" s="522"/>
      <c r="I3" s="522"/>
      <c r="J3" s="522"/>
      <c r="K3" s="522"/>
      <c r="L3" s="522"/>
      <c r="M3" s="522"/>
      <c r="N3" s="522"/>
      <c r="O3" s="522"/>
      <c r="P3" s="522"/>
      <c r="Q3" s="522"/>
    </row>
    <row r="4" spans="1:17" ht="14.4" customHeight="1" x14ac:dyDescent="0.3">
      <c r="B4" s="522"/>
      <c r="C4" s="522"/>
      <c r="D4" s="522"/>
      <c r="E4" s="522"/>
      <c r="F4" s="522"/>
      <c r="G4" s="522"/>
      <c r="H4" s="522"/>
      <c r="I4" s="522"/>
      <c r="J4" s="522"/>
      <c r="K4" s="522"/>
      <c r="L4" s="522"/>
      <c r="M4" s="522"/>
      <c r="N4" s="522"/>
      <c r="O4" s="522"/>
      <c r="P4" s="522"/>
      <c r="Q4" s="522"/>
    </row>
    <row r="5" spans="1:17" ht="14.4" customHeight="1" x14ac:dyDescent="0.3">
      <c r="B5" s="522"/>
      <c r="C5" s="522"/>
      <c r="D5" s="522"/>
      <c r="E5" s="522"/>
      <c r="F5" s="522"/>
      <c r="G5" s="522"/>
      <c r="H5" s="522"/>
      <c r="I5" s="522"/>
      <c r="J5" s="522"/>
      <c r="K5" s="522"/>
      <c r="L5" s="522"/>
      <c r="M5" s="522"/>
      <c r="N5" s="522"/>
      <c r="O5" s="522"/>
      <c r="P5" s="522"/>
      <c r="Q5" s="522"/>
    </row>
    <row r="6" spans="1:17" x14ac:dyDescent="0.3">
      <c r="B6" s="14"/>
      <c r="C6" s="14"/>
      <c r="D6" s="14"/>
      <c r="E6" s="14"/>
      <c r="F6" s="14"/>
      <c r="G6" s="14"/>
      <c r="H6" s="14"/>
      <c r="I6" s="14"/>
      <c r="J6" s="14"/>
      <c r="K6" s="14"/>
      <c r="L6" s="14"/>
      <c r="M6" s="14"/>
      <c r="N6" s="14"/>
      <c r="O6" s="14"/>
      <c r="P6" s="14"/>
      <c r="Q6" s="14"/>
    </row>
    <row r="7" spans="1:17" x14ac:dyDescent="0.3">
      <c r="B7" s="14"/>
      <c r="C7" s="14"/>
      <c r="D7" s="14"/>
      <c r="E7" s="14"/>
      <c r="F7" s="14"/>
      <c r="G7" s="14"/>
      <c r="H7" s="14"/>
      <c r="I7" s="14"/>
      <c r="J7" s="14"/>
      <c r="K7" s="14"/>
      <c r="L7" s="14"/>
      <c r="M7" s="14"/>
      <c r="N7" s="14"/>
      <c r="O7" s="14"/>
      <c r="P7" s="14"/>
      <c r="Q7" s="14"/>
    </row>
    <row r="8" spans="1:17" x14ac:dyDescent="0.3">
      <c r="B8" s="14"/>
      <c r="C8" s="14"/>
      <c r="D8" s="14"/>
      <c r="E8" s="14"/>
      <c r="F8" s="14"/>
      <c r="G8" s="14"/>
      <c r="H8" s="14"/>
      <c r="I8" s="14"/>
      <c r="J8" s="14"/>
      <c r="K8" s="14"/>
      <c r="L8" s="14"/>
      <c r="M8" s="14"/>
      <c r="N8" s="14"/>
      <c r="O8" s="14"/>
      <c r="P8" s="14"/>
      <c r="Q8" s="14"/>
    </row>
    <row r="9" spans="1:17" x14ac:dyDescent="0.3">
      <c r="B9" s="14"/>
      <c r="C9" s="14"/>
      <c r="D9" s="14"/>
      <c r="E9" s="14"/>
      <c r="F9" s="14"/>
      <c r="G9" s="14"/>
      <c r="H9" s="14"/>
      <c r="I9" s="14"/>
      <c r="J9" s="14"/>
      <c r="K9" s="14"/>
      <c r="L9" s="14"/>
      <c r="M9" s="14"/>
      <c r="N9" s="14"/>
      <c r="O9" s="14"/>
      <c r="P9" s="14"/>
      <c r="Q9" s="14"/>
    </row>
    <row r="10" spans="1:17" x14ac:dyDescent="0.3">
      <c r="B10" s="14"/>
      <c r="C10" s="21"/>
      <c r="D10" s="14"/>
      <c r="E10" s="14"/>
      <c r="F10" s="14"/>
      <c r="G10" s="14"/>
      <c r="H10" s="14"/>
      <c r="I10" s="14"/>
      <c r="J10" s="14"/>
      <c r="K10" s="14"/>
      <c r="L10" s="14"/>
      <c r="M10" s="14"/>
      <c r="N10" s="14"/>
      <c r="O10" s="14"/>
      <c r="P10" s="14"/>
      <c r="Q10" s="14"/>
    </row>
    <row r="11" spans="1:17" x14ac:dyDescent="0.3">
      <c r="B11" s="14"/>
      <c r="C11" s="14"/>
      <c r="D11" s="14"/>
      <c r="E11" s="14"/>
      <c r="F11" s="14"/>
      <c r="G11" s="14"/>
      <c r="H11" s="14"/>
      <c r="I11" s="14"/>
      <c r="J11" s="14"/>
      <c r="K11" s="14"/>
      <c r="L11" s="14"/>
      <c r="M11" s="14"/>
      <c r="N11" s="14"/>
      <c r="O11" s="14"/>
      <c r="P11" s="14"/>
      <c r="Q11" s="14"/>
    </row>
    <row r="12" spans="1:17" x14ac:dyDescent="0.3">
      <c r="B12" s="14"/>
      <c r="C12" s="14"/>
      <c r="D12" s="14"/>
      <c r="E12" s="14"/>
      <c r="F12" s="14"/>
      <c r="G12" s="14"/>
      <c r="H12" s="14"/>
      <c r="I12" s="14"/>
      <c r="J12" s="14"/>
      <c r="K12" s="14"/>
      <c r="L12" s="14"/>
      <c r="M12" s="14"/>
      <c r="N12" s="14"/>
      <c r="O12" s="14"/>
      <c r="P12" s="14"/>
      <c r="Q12" s="14"/>
    </row>
    <row r="13" spans="1:17" x14ac:dyDescent="0.3">
      <c r="B13" s="14"/>
      <c r="C13" s="14"/>
      <c r="D13" s="14"/>
      <c r="E13" s="14"/>
      <c r="F13" s="14"/>
      <c r="G13" s="14"/>
      <c r="H13" s="14"/>
      <c r="I13" s="14"/>
      <c r="J13" s="14"/>
      <c r="K13" s="14"/>
      <c r="L13" s="14"/>
      <c r="M13" s="14"/>
      <c r="N13" s="14"/>
      <c r="O13" s="14"/>
      <c r="P13" s="14"/>
      <c r="Q13" s="14"/>
    </row>
    <row r="14" spans="1:17" x14ac:dyDescent="0.3">
      <c r="B14" s="14"/>
      <c r="C14" s="14"/>
      <c r="D14" s="14"/>
      <c r="E14" s="14"/>
      <c r="F14" s="14"/>
      <c r="G14" s="14"/>
      <c r="H14" s="14"/>
      <c r="I14" s="14"/>
      <c r="J14" s="14"/>
      <c r="K14" s="14"/>
      <c r="L14" s="14"/>
      <c r="M14" s="14"/>
      <c r="N14" s="14"/>
      <c r="O14" s="14"/>
      <c r="P14" s="14"/>
      <c r="Q14" s="14"/>
    </row>
    <row r="15" spans="1:17" x14ac:dyDescent="0.3">
      <c r="B15" s="14"/>
      <c r="C15" s="14"/>
      <c r="D15" s="14"/>
      <c r="E15" s="14"/>
      <c r="F15" s="14"/>
      <c r="G15" s="14"/>
      <c r="H15" s="14"/>
      <c r="I15" s="14"/>
      <c r="J15" s="14"/>
      <c r="K15" s="14"/>
      <c r="L15" s="14"/>
      <c r="M15" s="14"/>
      <c r="N15" s="14"/>
      <c r="O15" s="14"/>
      <c r="P15" s="14"/>
      <c r="Q15" s="14"/>
    </row>
    <row r="16" spans="1:17" x14ac:dyDescent="0.3">
      <c r="B16" s="14"/>
      <c r="C16" s="14"/>
      <c r="D16" s="14"/>
      <c r="E16" s="14"/>
      <c r="F16" s="14"/>
      <c r="G16" s="14"/>
      <c r="H16" s="14"/>
      <c r="I16" s="14"/>
      <c r="J16" s="14"/>
      <c r="K16" s="14"/>
      <c r="L16" s="14"/>
      <c r="M16" s="14"/>
      <c r="N16" s="14"/>
      <c r="O16" s="14"/>
      <c r="P16" s="14"/>
      <c r="Q16" s="14"/>
    </row>
    <row r="17" spans="2:17" x14ac:dyDescent="0.3">
      <c r="B17" s="14"/>
      <c r="C17" s="14"/>
      <c r="D17" s="14"/>
      <c r="E17" s="14"/>
      <c r="F17" s="14"/>
      <c r="G17" s="14"/>
      <c r="H17" s="14"/>
      <c r="I17" s="14"/>
      <c r="J17" s="14"/>
      <c r="K17" s="14"/>
      <c r="L17" s="14"/>
      <c r="M17" s="14"/>
      <c r="N17" s="14"/>
      <c r="O17" s="14"/>
      <c r="P17" s="14"/>
      <c r="Q17" s="14"/>
    </row>
    <row r="18" spans="2:17" x14ac:dyDescent="0.3">
      <c r="B18" s="14"/>
      <c r="C18" s="14"/>
      <c r="D18" s="14"/>
      <c r="E18" s="14"/>
      <c r="F18" s="14"/>
      <c r="G18" s="14"/>
      <c r="H18" s="14"/>
      <c r="I18" s="14"/>
      <c r="J18" s="14"/>
      <c r="K18" s="14"/>
      <c r="L18" s="14"/>
      <c r="M18" s="14"/>
      <c r="N18" s="14"/>
      <c r="O18" s="14"/>
      <c r="P18" s="14"/>
      <c r="Q18" s="14"/>
    </row>
    <row r="19" spans="2:17" x14ac:dyDescent="0.3">
      <c r="B19" s="14"/>
      <c r="C19" s="14"/>
      <c r="D19" s="14"/>
      <c r="E19" s="14"/>
      <c r="F19" s="14"/>
      <c r="G19" s="14"/>
      <c r="H19" s="14"/>
      <c r="I19" s="14"/>
      <c r="J19" s="14"/>
      <c r="K19" s="14"/>
      <c r="L19" s="14"/>
      <c r="M19" s="14"/>
      <c r="N19" s="14"/>
      <c r="O19" s="14"/>
      <c r="P19" s="14"/>
      <c r="Q19" s="14"/>
    </row>
    <row r="20" spans="2:17" x14ac:dyDescent="0.3">
      <c r="B20" s="14"/>
      <c r="C20" s="14"/>
      <c r="D20" s="14"/>
      <c r="E20" s="14"/>
      <c r="F20" s="14"/>
      <c r="G20" s="14"/>
      <c r="H20" s="14"/>
      <c r="I20" s="14"/>
      <c r="J20" s="14"/>
      <c r="K20" s="14"/>
      <c r="L20" s="14"/>
      <c r="M20" s="14"/>
      <c r="N20" s="14"/>
      <c r="O20" s="14"/>
      <c r="P20" s="14"/>
      <c r="Q20" s="14"/>
    </row>
    <row r="21" spans="2:17" x14ac:dyDescent="0.3">
      <c r="B21" s="14"/>
      <c r="C21" s="14"/>
      <c r="D21" s="14"/>
      <c r="E21" s="14"/>
      <c r="F21" s="14"/>
      <c r="G21" s="14"/>
      <c r="H21" s="14"/>
      <c r="I21" s="14"/>
      <c r="J21" s="14"/>
      <c r="K21" s="14"/>
      <c r="L21" s="14"/>
      <c r="M21" s="14"/>
      <c r="N21" s="14"/>
      <c r="O21" s="14"/>
      <c r="P21" s="14"/>
      <c r="Q21" s="14"/>
    </row>
    <row r="22" spans="2:17" x14ac:dyDescent="0.3">
      <c r="B22" s="14"/>
      <c r="C22" s="14"/>
      <c r="D22" s="14"/>
      <c r="E22" s="14"/>
      <c r="F22" s="14"/>
      <c r="G22" s="14"/>
      <c r="H22" s="14"/>
      <c r="I22" s="14"/>
      <c r="J22" s="14"/>
      <c r="K22" s="14"/>
      <c r="L22" s="14"/>
      <c r="M22" s="14"/>
      <c r="N22" s="14"/>
      <c r="O22" s="14"/>
      <c r="P22" s="14"/>
      <c r="Q22" s="14"/>
    </row>
    <row r="23" spans="2:17" x14ac:dyDescent="0.3">
      <c r="B23" s="14"/>
      <c r="C23" s="14"/>
      <c r="D23" s="14"/>
      <c r="E23" s="14"/>
      <c r="F23" s="14"/>
      <c r="G23" s="14"/>
      <c r="H23" s="14"/>
      <c r="I23" s="14"/>
      <c r="J23" s="14"/>
      <c r="K23" s="14"/>
      <c r="L23" s="14"/>
      <c r="M23" s="14"/>
      <c r="N23" s="14"/>
      <c r="O23" s="14"/>
      <c r="P23" s="14"/>
      <c r="Q23" s="14"/>
    </row>
    <row r="24" spans="2:17" x14ac:dyDescent="0.3">
      <c r="B24" s="14"/>
      <c r="C24" s="14"/>
      <c r="D24" s="14"/>
      <c r="E24" s="14"/>
      <c r="F24" s="14"/>
      <c r="G24" s="14"/>
      <c r="H24" s="14"/>
      <c r="I24" s="14"/>
      <c r="J24" s="14"/>
      <c r="K24" s="14"/>
      <c r="L24" s="14"/>
      <c r="M24" s="14"/>
      <c r="N24" s="14"/>
      <c r="O24" s="14"/>
      <c r="P24" s="14"/>
      <c r="Q24" s="14"/>
    </row>
    <row r="25" spans="2:17" x14ac:dyDescent="0.3">
      <c r="B25" s="14"/>
      <c r="C25" s="14"/>
      <c r="D25" s="14"/>
      <c r="E25" s="14"/>
      <c r="F25" s="14"/>
      <c r="G25" s="14"/>
      <c r="H25" s="14"/>
      <c r="I25" s="14"/>
      <c r="J25" s="14"/>
      <c r="K25" s="14"/>
      <c r="L25" s="14"/>
      <c r="M25" s="14"/>
      <c r="N25" s="14"/>
      <c r="O25" s="14"/>
      <c r="P25" s="14"/>
      <c r="Q25" s="14"/>
    </row>
    <row r="26" spans="2:17" x14ac:dyDescent="0.3">
      <c r="B26" s="14"/>
      <c r="C26" s="14"/>
      <c r="D26" s="14"/>
      <c r="E26" s="14"/>
      <c r="F26" s="14"/>
      <c r="G26" s="14"/>
      <c r="H26" s="14"/>
      <c r="I26" s="14"/>
      <c r="J26" s="14"/>
      <c r="K26" s="14"/>
      <c r="L26" s="14"/>
      <c r="M26" s="14"/>
      <c r="N26" s="14"/>
      <c r="O26" s="14"/>
      <c r="P26" s="14"/>
      <c r="Q26" s="14"/>
    </row>
    <row r="27" spans="2:17" x14ac:dyDescent="0.3">
      <c r="B27" s="14"/>
      <c r="C27" s="14"/>
      <c r="D27" s="14"/>
      <c r="E27" s="14"/>
      <c r="F27" s="14"/>
      <c r="G27" s="14"/>
      <c r="H27" s="14"/>
      <c r="I27" s="14"/>
      <c r="J27" s="14"/>
      <c r="K27" s="14"/>
      <c r="L27" s="14"/>
      <c r="M27" s="14"/>
      <c r="N27" s="14"/>
      <c r="O27" s="14"/>
      <c r="P27" s="14"/>
      <c r="Q27" s="14"/>
    </row>
    <row r="28" spans="2:17" x14ac:dyDescent="0.3">
      <c r="B28" s="14"/>
      <c r="C28" s="14"/>
      <c r="D28" s="14"/>
      <c r="E28" s="14"/>
      <c r="F28" s="14"/>
      <c r="G28" s="14"/>
      <c r="H28" s="14"/>
      <c r="I28" s="14"/>
      <c r="J28" s="14"/>
      <c r="K28" s="14"/>
      <c r="L28" s="14"/>
      <c r="M28" s="14"/>
      <c r="N28" s="14"/>
      <c r="O28" s="14"/>
      <c r="P28" s="14"/>
      <c r="Q28" s="14"/>
    </row>
    <row r="29" spans="2:17" x14ac:dyDescent="0.3">
      <c r="B29" s="14"/>
      <c r="C29" s="14"/>
      <c r="D29" s="14"/>
      <c r="E29" s="14"/>
      <c r="F29" s="14"/>
      <c r="G29" s="14"/>
      <c r="H29" s="14"/>
      <c r="I29" s="14"/>
      <c r="J29" s="14"/>
      <c r="K29" s="14"/>
      <c r="L29" s="14"/>
      <c r="M29" s="14"/>
      <c r="N29" s="14"/>
      <c r="O29" s="14"/>
      <c r="P29" s="14"/>
      <c r="Q29" s="14"/>
    </row>
    <row r="30" spans="2:17" x14ac:dyDescent="0.3">
      <c r="B30" s="14"/>
      <c r="C30" s="14"/>
      <c r="D30" s="14"/>
      <c r="E30" s="14"/>
      <c r="F30" s="14"/>
      <c r="G30" s="14"/>
      <c r="H30" s="14"/>
      <c r="I30" s="14"/>
      <c r="J30" s="14"/>
      <c r="K30" s="14"/>
      <c r="L30" s="14"/>
      <c r="M30" s="14"/>
      <c r="N30" s="14"/>
      <c r="O30" s="14"/>
      <c r="P30" s="14"/>
      <c r="Q30" s="14"/>
    </row>
    <row r="31" spans="2:17" x14ac:dyDescent="0.3">
      <c r="B31" s="14"/>
      <c r="C31" s="14"/>
      <c r="D31" s="14"/>
      <c r="E31" s="14"/>
      <c r="F31" s="14"/>
      <c r="G31" s="14"/>
      <c r="H31" s="14"/>
      <c r="I31" s="14"/>
      <c r="J31" s="14"/>
      <c r="K31" s="14"/>
      <c r="L31" s="14"/>
      <c r="M31" s="14"/>
      <c r="N31" s="14"/>
      <c r="O31" s="14"/>
      <c r="P31" s="14"/>
      <c r="Q31" s="14"/>
    </row>
    <row r="32" spans="2:17" x14ac:dyDescent="0.3">
      <c r="B32" s="14"/>
      <c r="C32" s="14"/>
      <c r="D32" s="14"/>
      <c r="E32" s="14"/>
      <c r="F32" s="14"/>
      <c r="G32" s="14"/>
      <c r="H32" s="14"/>
      <c r="I32" s="14"/>
      <c r="J32" s="14"/>
      <c r="K32" s="14"/>
      <c r="L32" s="14"/>
      <c r="M32" s="14"/>
      <c r="N32" s="14"/>
      <c r="O32" s="14"/>
      <c r="P32" s="14"/>
      <c r="Q32" s="14"/>
    </row>
    <row r="33" spans="2:17" x14ac:dyDescent="0.3">
      <c r="B33" s="14"/>
      <c r="C33" s="14"/>
      <c r="D33" s="14"/>
      <c r="E33" s="14"/>
      <c r="F33" s="14"/>
      <c r="G33" s="14"/>
      <c r="H33" s="14"/>
      <c r="I33" s="14"/>
      <c r="J33" s="14"/>
      <c r="K33" s="14"/>
      <c r="L33" s="14"/>
      <c r="M33" s="14"/>
      <c r="N33" s="14"/>
      <c r="O33" s="14"/>
      <c r="P33" s="14"/>
      <c r="Q33" s="14"/>
    </row>
    <row r="34" spans="2:17" x14ac:dyDescent="0.3">
      <c r="B34" s="14"/>
      <c r="C34" s="14"/>
      <c r="D34" s="14"/>
      <c r="E34" s="14"/>
      <c r="F34" s="14"/>
      <c r="G34" s="14"/>
      <c r="H34" s="14"/>
      <c r="I34" s="14"/>
      <c r="J34" s="14"/>
      <c r="K34" s="14"/>
      <c r="L34" s="14"/>
      <c r="M34" s="14"/>
      <c r="N34" s="14"/>
      <c r="O34" s="14"/>
      <c r="P34" s="14"/>
      <c r="Q34" s="14"/>
    </row>
    <row r="35" spans="2:17" x14ac:dyDescent="0.3">
      <c r="B35" s="14"/>
      <c r="C35" s="14"/>
      <c r="D35" s="14"/>
      <c r="E35" s="14"/>
      <c r="F35" s="14"/>
      <c r="G35" s="14"/>
      <c r="H35" s="14"/>
      <c r="I35" s="14"/>
      <c r="J35" s="14"/>
      <c r="K35" s="14"/>
      <c r="L35" s="14"/>
      <c r="M35" s="14"/>
      <c r="N35" s="14"/>
      <c r="O35" s="14"/>
      <c r="P35" s="14"/>
      <c r="Q35" s="14"/>
    </row>
    <row r="36" spans="2:17" ht="23.4" x14ac:dyDescent="0.45">
      <c r="B36" s="523" t="s">
        <v>280</v>
      </c>
      <c r="C36" s="523"/>
      <c r="D36" s="523"/>
      <c r="E36" s="523"/>
      <c r="F36" s="523"/>
      <c r="G36" s="523"/>
      <c r="H36" s="523"/>
      <c r="I36" s="523"/>
      <c r="J36" s="523"/>
      <c r="K36" s="523"/>
      <c r="L36" s="523"/>
      <c r="M36" s="523"/>
      <c r="N36" s="523"/>
      <c r="O36" s="523"/>
      <c r="P36" s="523"/>
      <c r="Q36" s="523"/>
    </row>
    <row r="37" spans="2:17" x14ac:dyDescent="0.3">
      <c r="B37" s="14"/>
      <c r="C37" s="14"/>
      <c r="D37" s="14"/>
      <c r="E37" s="14"/>
      <c r="F37" s="14"/>
      <c r="G37" s="14"/>
      <c r="H37" s="14"/>
      <c r="I37" s="14"/>
      <c r="J37" s="14"/>
      <c r="K37" s="14"/>
      <c r="L37" s="14"/>
      <c r="M37" s="14"/>
      <c r="N37" s="14"/>
      <c r="O37" s="14"/>
      <c r="P37" s="14"/>
      <c r="Q37" s="14"/>
    </row>
    <row r="38" spans="2:17" ht="24.6" customHeight="1" x14ac:dyDescent="0.3">
      <c r="B38" s="14"/>
      <c r="C38" s="14"/>
      <c r="D38" s="14"/>
      <c r="E38" s="14"/>
      <c r="F38" s="14"/>
      <c r="G38" s="14"/>
      <c r="H38" s="14"/>
      <c r="I38" s="14"/>
      <c r="J38" s="14"/>
      <c r="K38" s="14"/>
      <c r="L38" s="14"/>
      <c r="M38" s="14"/>
      <c r="N38" s="14"/>
      <c r="O38" s="14"/>
      <c r="P38" s="14"/>
      <c r="Q38" s="14"/>
    </row>
  </sheetData>
  <sheetProtection sheet="1" objects="1" scenarios="1" formatColumns="0" selectLockedCells="1"/>
  <mergeCells count="2">
    <mergeCell ref="B2:Q5"/>
    <mergeCell ref="B36:Q36"/>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9">
    <tabColor theme="5"/>
  </sheetPr>
  <dimension ref="A1:L76"/>
  <sheetViews>
    <sheetView showGridLines="0" zoomScale="70" zoomScaleNormal="70" workbookViewId="0">
      <selection activeCell="C26" sqref="C26"/>
    </sheetView>
  </sheetViews>
  <sheetFormatPr baseColWidth="10" defaultRowHeight="14.4" x14ac:dyDescent="0.3"/>
  <cols>
    <col min="1" max="1" width="1" customWidth="1"/>
    <col min="2" max="2" width="36.109375" customWidth="1"/>
    <col min="3" max="3" width="29.88671875" customWidth="1"/>
    <col min="4" max="4" width="34.44140625" customWidth="1"/>
    <col min="5" max="5" width="27.44140625" customWidth="1"/>
    <col min="6" max="6" width="35.88671875" customWidth="1"/>
    <col min="7" max="7" width="39.21875" bestFit="1" customWidth="1"/>
    <col min="8" max="8" width="44" bestFit="1" customWidth="1"/>
    <col min="9" max="9" width="46.77734375" customWidth="1"/>
    <col min="10" max="10" width="30.21875" customWidth="1"/>
    <col min="11" max="11" width="25.21875" customWidth="1"/>
    <col min="12" max="12" width="27.21875" customWidth="1"/>
  </cols>
  <sheetData>
    <row r="1" spans="2:12" s="20" customFormat="1" ht="4.2" customHeight="1" thickBot="1" x14ac:dyDescent="0.35"/>
    <row r="2" spans="2:12" ht="27" customHeight="1" thickBot="1" x14ac:dyDescent="0.55000000000000004">
      <c r="B2" s="556" t="s">
        <v>303</v>
      </c>
      <c r="C2" s="558"/>
      <c r="D2" s="558"/>
      <c r="E2" s="558"/>
      <c r="F2" s="558"/>
      <c r="G2" s="558"/>
      <c r="H2" s="557"/>
    </row>
    <row r="3" spans="2:12" ht="23.4" customHeight="1" thickBot="1" x14ac:dyDescent="0.55000000000000004">
      <c r="B3" s="559" t="s">
        <v>132</v>
      </c>
      <c r="C3" s="560"/>
      <c r="D3" s="560"/>
      <c r="E3" s="560"/>
      <c r="F3" s="560"/>
      <c r="G3" s="560"/>
      <c r="H3" s="561"/>
      <c r="I3" s="15"/>
      <c r="J3" s="7"/>
      <c r="K3" s="6"/>
      <c r="L3" s="6"/>
    </row>
    <row r="4" spans="2:12" ht="21.6" thickBot="1" x14ac:dyDescent="0.45">
      <c r="B4" s="221" t="s">
        <v>246</v>
      </c>
      <c r="C4" s="222" t="s">
        <v>19</v>
      </c>
      <c r="D4" s="160" t="s">
        <v>352</v>
      </c>
      <c r="E4" s="160" t="s">
        <v>22</v>
      </c>
      <c r="F4" s="160" t="s">
        <v>30</v>
      </c>
      <c r="G4" s="161" t="s">
        <v>31</v>
      </c>
      <c r="H4" s="223" t="s">
        <v>32</v>
      </c>
    </row>
    <row r="5" spans="2:12" ht="18" x14ac:dyDescent="0.35">
      <c r="B5" s="214" t="s">
        <v>36</v>
      </c>
      <c r="C5" s="236"/>
      <c r="D5" s="208">
        <v>0.85</v>
      </c>
      <c r="E5" s="209">
        <f>$C5*$D5</f>
        <v>0</v>
      </c>
      <c r="F5" s="162">
        <f>12*365*Tableau7[[#This Row],[Nbre d''animaux]]</f>
        <v>0</v>
      </c>
      <c r="G5" s="163">
        <f>$F$5*800</f>
        <v>0</v>
      </c>
      <c r="H5" s="215">
        <f>$F$5*AVERAGE(40,70)</f>
        <v>0</v>
      </c>
    </row>
    <row r="6" spans="2:12" ht="18" x14ac:dyDescent="0.35">
      <c r="B6" s="214" t="s">
        <v>37</v>
      </c>
      <c r="C6" s="236"/>
      <c r="D6" s="208">
        <v>0.4</v>
      </c>
      <c r="E6" s="209">
        <f t="shared" ref="E6:E21" si="0">$C6*$D6</f>
        <v>0</v>
      </c>
      <c r="F6" s="162">
        <f>(12*365)*$E6</f>
        <v>0</v>
      </c>
      <c r="G6" s="163">
        <f>(800*12*365)*$E6</f>
        <v>0</v>
      </c>
      <c r="H6" s="215">
        <f>(12*365*AVERAGE(40,70))*$E6</f>
        <v>0</v>
      </c>
    </row>
    <row r="7" spans="2:12" ht="18" x14ac:dyDescent="0.35">
      <c r="B7" s="216" t="s">
        <v>38</v>
      </c>
      <c r="C7" s="237"/>
      <c r="D7" s="210">
        <v>0.6</v>
      </c>
      <c r="E7" s="209">
        <f t="shared" si="0"/>
        <v>0</v>
      </c>
      <c r="F7" s="162">
        <f t="shared" ref="F7:F21" si="1">(12*365)*$E7</f>
        <v>0</v>
      </c>
      <c r="G7" s="163">
        <f>(800*12*365)*$E7</f>
        <v>0</v>
      </c>
      <c r="H7" s="215">
        <f t="shared" ref="H7:H21" si="2">(12*365*AVERAGE(40,70))*$E7</f>
        <v>0</v>
      </c>
    </row>
    <row r="8" spans="2:12" ht="18" x14ac:dyDescent="0.35">
      <c r="B8" s="216" t="s">
        <v>39</v>
      </c>
      <c r="C8" s="237"/>
      <c r="D8" s="210">
        <v>0.8</v>
      </c>
      <c r="E8" s="209">
        <f t="shared" si="0"/>
        <v>0</v>
      </c>
      <c r="F8" s="162">
        <f t="shared" si="1"/>
        <v>0</v>
      </c>
      <c r="G8" s="163">
        <f>(800*12*365)*$E8</f>
        <v>0</v>
      </c>
      <c r="H8" s="215">
        <f t="shared" si="2"/>
        <v>0</v>
      </c>
    </row>
    <row r="9" spans="2:12" s="5" customFormat="1" ht="18" x14ac:dyDescent="0.35">
      <c r="B9" s="216" t="s">
        <v>40</v>
      </c>
      <c r="C9" s="237"/>
      <c r="D9" s="210">
        <v>0.9</v>
      </c>
      <c r="E9" s="209">
        <f t="shared" si="0"/>
        <v>0</v>
      </c>
      <c r="F9" s="162">
        <f t="shared" si="1"/>
        <v>0</v>
      </c>
      <c r="G9" s="163">
        <f t="shared" ref="G9:G21" si="3">(800*12*365)*$E9</f>
        <v>0</v>
      </c>
      <c r="H9" s="215">
        <f t="shared" si="2"/>
        <v>0</v>
      </c>
    </row>
    <row r="10" spans="2:12" ht="18" x14ac:dyDescent="0.35">
      <c r="B10" s="216" t="s">
        <v>41</v>
      </c>
      <c r="C10" s="237"/>
      <c r="D10" s="210">
        <v>0.95</v>
      </c>
      <c r="E10" s="209">
        <f t="shared" si="0"/>
        <v>0</v>
      </c>
      <c r="F10" s="162">
        <f t="shared" si="1"/>
        <v>0</v>
      </c>
      <c r="G10" s="163">
        <f t="shared" si="3"/>
        <v>0</v>
      </c>
      <c r="H10" s="215">
        <f t="shared" si="2"/>
        <v>0</v>
      </c>
    </row>
    <row r="11" spans="2:12" ht="18" x14ac:dyDescent="0.35">
      <c r="B11" s="216" t="s">
        <v>42</v>
      </c>
      <c r="C11" s="237"/>
      <c r="D11" s="210">
        <v>0.45</v>
      </c>
      <c r="E11" s="209">
        <f t="shared" si="0"/>
        <v>0</v>
      </c>
      <c r="F11" s="162">
        <f t="shared" si="1"/>
        <v>0</v>
      </c>
      <c r="G11" s="163">
        <f t="shared" si="3"/>
        <v>0</v>
      </c>
      <c r="H11" s="215">
        <f t="shared" si="2"/>
        <v>0</v>
      </c>
    </row>
    <row r="12" spans="2:12" s="5" customFormat="1" ht="18" x14ac:dyDescent="0.35">
      <c r="B12" s="216" t="s">
        <v>27</v>
      </c>
      <c r="C12" s="237"/>
      <c r="D12" s="210">
        <v>0.6</v>
      </c>
      <c r="E12" s="209">
        <f t="shared" si="0"/>
        <v>0</v>
      </c>
      <c r="F12" s="162">
        <f t="shared" si="1"/>
        <v>0</v>
      </c>
      <c r="G12" s="163">
        <f t="shared" si="3"/>
        <v>0</v>
      </c>
      <c r="H12" s="215">
        <f t="shared" si="2"/>
        <v>0</v>
      </c>
    </row>
    <row r="13" spans="2:12" s="5" customFormat="1" ht="18" x14ac:dyDescent="0.35">
      <c r="B13" s="216" t="s">
        <v>43</v>
      </c>
      <c r="C13" s="237"/>
      <c r="D13" s="210">
        <v>0.8</v>
      </c>
      <c r="E13" s="209">
        <f t="shared" si="0"/>
        <v>0</v>
      </c>
      <c r="F13" s="162">
        <f t="shared" si="1"/>
        <v>0</v>
      </c>
      <c r="G13" s="163">
        <f t="shared" si="3"/>
        <v>0</v>
      </c>
      <c r="H13" s="215">
        <f t="shared" si="2"/>
        <v>0</v>
      </c>
    </row>
    <row r="14" spans="2:12" ht="18" x14ac:dyDescent="0.35">
      <c r="B14" s="216" t="s">
        <v>44</v>
      </c>
      <c r="C14" s="237"/>
      <c r="D14" s="210">
        <v>1</v>
      </c>
      <c r="E14" s="209">
        <f t="shared" si="0"/>
        <v>0</v>
      </c>
      <c r="F14" s="162">
        <f t="shared" si="1"/>
        <v>0</v>
      </c>
      <c r="G14" s="163">
        <f t="shared" si="3"/>
        <v>0</v>
      </c>
      <c r="H14" s="215">
        <f t="shared" si="2"/>
        <v>0</v>
      </c>
    </row>
    <row r="15" spans="2:12" s="5" customFormat="1" ht="18" x14ac:dyDescent="0.35">
      <c r="B15" s="216" t="s">
        <v>45</v>
      </c>
      <c r="C15" s="237"/>
      <c r="D15" s="210">
        <v>1</v>
      </c>
      <c r="E15" s="209">
        <f t="shared" si="0"/>
        <v>0</v>
      </c>
      <c r="F15" s="162">
        <f t="shared" si="1"/>
        <v>0</v>
      </c>
      <c r="G15" s="163">
        <f t="shared" si="3"/>
        <v>0</v>
      </c>
      <c r="H15" s="215">
        <f>(12*365*AVERAGE(40,70))*$E15</f>
        <v>0</v>
      </c>
    </row>
    <row r="16" spans="2:12" ht="18" customHeight="1" x14ac:dyDescent="0.35">
      <c r="B16" s="216" t="s">
        <v>46</v>
      </c>
      <c r="C16" s="237"/>
      <c r="D16" s="210">
        <v>1.2</v>
      </c>
      <c r="E16" s="209">
        <f t="shared" si="0"/>
        <v>0</v>
      </c>
      <c r="F16" s="162">
        <f t="shared" si="1"/>
        <v>0</v>
      </c>
      <c r="G16" s="163">
        <f t="shared" si="3"/>
        <v>0</v>
      </c>
      <c r="H16" s="215">
        <f t="shared" si="2"/>
        <v>0</v>
      </c>
    </row>
    <row r="17" spans="2:9" s="5" customFormat="1" ht="16.8" customHeight="1" x14ac:dyDescent="0.35">
      <c r="B17" s="216" t="s">
        <v>47</v>
      </c>
      <c r="C17" s="238"/>
      <c r="D17" s="210">
        <v>0.45</v>
      </c>
      <c r="E17" s="209">
        <f t="shared" si="0"/>
        <v>0</v>
      </c>
      <c r="F17" s="162">
        <f t="shared" si="1"/>
        <v>0</v>
      </c>
      <c r="G17" s="163">
        <f t="shared" si="3"/>
        <v>0</v>
      </c>
      <c r="H17" s="215">
        <f t="shared" si="2"/>
        <v>0</v>
      </c>
    </row>
    <row r="18" spans="2:9" s="5" customFormat="1" ht="16.8" customHeight="1" x14ac:dyDescent="0.35">
      <c r="B18" s="216" t="s">
        <v>48</v>
      </c>
      <c r="C18" s="238"/>
      <c r="D18" s="210">
        <v>0.6</v>
      </c>
      <c r="E18" s="209">
        <f t="shared" si="0"/>
        <v>0</v>
      </c>
      <c r="F18" s="162">
        <f t="shared" si="1"/>
        <v>0</v>
      </c>
      <c r="G18" s="163">
        <f t="shared" si="3"/>
        <v>0</v>
      </c>
      <c r="H18" s="215">
        <f t="shared" si="2"/>
        <v>0</v>
      </c>
    </row>
    <row r="19" spans="2:9" s="5" customFormat="1" ht="17.399999999999999" customHeight="1" x14ac:dyDescent="0.35">
      <c r="B19" s="216" t="s">
        <v>49</v>
      </c>
      <c r="C19" s="238"/>
      <c r="D19" s="210">
        <v>0.8</v>
      </c>
      <c r="E19" s="209">
        <f t="shared" si="0"/>
        <v>0</v>
      </c>
      <c r="F19" s="162">
        <f t="shared" si="1"/>
        <v>0</v>
      </c>
      <c r="G19" s="163">
        <f t="shared" si="3"/>
        <v>0</v>
      </c>
      <c r="H19" s="215">
        <f t="shared" si="2"/>
        <v>0</v>
      </c>
    </row>
    <row r="20" spans="2:9" s="5" customFormat="1" ht="18.600000000000001" customHeight="1" x14ac:dyDescent="0.35">
      <c r="B20" s="216" t="s">
        <v>50</v>
      </c>
      <c r="C20" s="238"/>
      <c r="D20" s="210">
        <v>1</v>
      </c>
      <c r="E20" s="209">
        <f t="shared" si="0"/>
        <v>0</v>
      </c>
      <c r="F20" s="162">
        <f t="shared" si="1"/>
        <v>0</v>
      </c>
      <c r="G20" s="163">
        <f t="shared" si="3"/>
        <v>0</v>
      </c>
      <c r="H20" s="215">
        <f t="shared" si="2"/>
        <v>0</v>
      </c>
    </row>
    <row r="21" spans="2:9" ht="18.600000000000001" thickBot="1" x14ac:dyDescent="0.4">
      <c r="B21" s="217" t="s">
        <v>51</v>
      </c>
      <c r="C21" s="238"/>
      <c r="D21" s="211">
        <v>1</v>
      </c>
      <c r="E21" s="209">
        <f t="shared" si="0"/>
        <v>0</v>
      </c>
      <c r="F21" s="162">
        <f t="shared" si="1"/>
        <v>0</v>
      </c>
      <c r="G21" s="163">
        <f t="shared" si="3"/>
        <v>0</v>
      </c>
      <c r="H21" s="215">
        <f t="shared" si="2"/>
        <v>0</v>
      </c>
    </row>
    <row r="22" spans="2:9" ht="21.6" thickBot="1" x14ac:dyDescent="0.45">
      <c r="B22" s="218" t="s">
        <v>5</v>
      </c>
      <c r="C22" s="205">
        <f>SUM(C5:C21)</f>
        <v>0</v>
      </c>
      <c r="D22" s="206"/>
      <c r="E22" s="207">
        <f>SUM(E5:E21)</f>
        <v>0</v>
      </c>
      <c r="F22" s="185">
        <f>SUM(F5:F21)</f>
        <v>0</v>
      </c>
      <c r="G22" s="186">
        <f>SUM(G5:G21)</f>
        <v>0</v>
      </c>
      <c r="H22" s="219">
        <f>SUM(H5:H21)</f>
        <v>0</v>
      </c>
    </row>
    <row r="23" spans="2:9" ht="22.8" customHeight="1" thickBot="1" x14ac:dyDescent="0.55000000000000004">
      <c r="B23" s="562" t="s">
        <v>304</v>
      </c>
      <c r="C23" s="563"/>
      <c r="D23" s="563"/>
      <c r="E23" s="563"/>
      <c r="F23" s="224" t="s">
        <v>347</v>
      </c>
      <c r="G23" s="488"/>
      <c r="H23" s="489"/>
      <c r="I23" s="15"/>
    </row>
    <row r="24" spans="2:9" ht="21.6" thickBot="1" x14ac:dyDescent="0.45">
      <c r="B24" s="490" t="s">
        <v>246</v>
      </c>
      <c r="C24" s="491" t="s">
        <v>19</v>
      </c>
      <c r="D24" s="492" t="s">
        <v>352</v>
      </c>
      <c r="E24" s="492" t="s">
        <v>22</v>
      </c>
      <c r="F24" s="492" t="s">
        <v>30</v>
      </c>
      <c r="G24" s="493" t="s">
        <v>31</v>
      </c>
      <c r="H24" s="494" t="s">
        <v>32</v>
      </c>
    </row>
    <row r="25" spans="2:9" ht="18" x14ac:dyDescent="0.35">
      <c r="B25" s="220" t="s">
        <v>118</v>
      </c>
      <c r="C25" s="236"/>
      <c r="D25" s="212">
        <v>1</v>
      </c>
      <c r="E25" s="209">
        <f>Tableau8[[#This Row],[Nbre d''animaux]]*Tableau8[[#This Row],[Valeurs UGB alimentaires]]</f>
        <v>0</v>
      </c>
      <c r="F25" s="162">
        <f>13*365*Tableau8[[#This Row],[Nbre d''animaux]]</f>
        <v>0</v>
      </c>
      <c r="G25" s="163">
        <f>8200*365*$E25</f>
        <v>0</v>
      </c>
      <c r="H25" s="215">
        <f>768*365*$E25</f>
        <v>0</v>
      </c>
    </row>
    <row r="26" spans="2:9" s="5" customFormat="1" ht="18" x14ac:dyDescent="0.35">
      <c r="B26" s="216" t="s">
        <v>119</v>
      </c>
      <c r="C26" s="237"/>
      <c r="D26" s="210">
        <v>0.85</v>
      </c>
      <c r="E26" s="209">
        <f>Tableau8[[#This Row],[Nbre d''animaux]]*Tableau8[[#This Row],[Valeurs UGB alimentaires]]</f>
        <v>0</v>
      </c>
      <c r="F26" s="213">
        <f>(16*365)*$E26</f>
        <v>0</v>
      </c>
      <c r="G26" s="163">
        <f>8200*365*$E26</f>
        <v>0</v>
      </c>
      <c r="H26" s="215">
        <f>768*365*$E26</f>
        <v>0</v>
      </c>
    </row>
    <row r="27" spans="2:9" ht="18" x14ac:dyDescent="0.35">
      <c r="B27" s="214" t="s">
        <v>37</v>
      </c>
      <c r="C27" s="236"/>
      <c r="D27" s="208">
        <v>0.4</v>
      </c>
      <c r="E27" s="209">
        <f>Tableau8[[#This Row],[Nbre d''animaux]]*Tableau8[[#This Row],[Valeurs UGB alimentaires]]</f>
        <v>0</v>
      </c>
      <c r="F27" s="213">
        <f>(16*365)*$E27</f>
        <v>0</v>
      </c>
      <c r="G27" s="163">
        <f t="shared" ref="G27:G34" si="4">5700*365*$E27</f>
        <v>0</v>
      </c>
      <c r="H27" s="215">
        <f>420*365*$E27</f>
        <v>0</v>
      </c>
    </row>
    <row r="28" spans="2:9" ht="18" x14ac:dyDescent="0.35">
      <c r="B28" s="216" t="s">
        <v>38</v>
      </c>
      <c r="C28" s="237"/>
      <c r="D28" s="210">
        <v>0.6</v>
      </c>
      <c r="E28" s="209">
        <f>Tableau8[[#This Row],[Nbre d''animaux]]*Tableau8[[#This Row],[Valeurs UGB alimentaires]]</f>
        <v>0</v>
      </c>
      <c r="F28" s="213">
        <f t="shared" ref="F28:F42" si="5">(16*365)*$E28</f>
        <v>0</v>
      </c>
      <c r="G28" s="163">
        <f t="shared" si="4"/>
        <v>0</v>
      </c>
      <c r="H28" s="215">
        <f t="shared" ref="H28:H42" si="6">420*365*$E28</f>
        <v>0</v>
      </c>
    </row>
    <row r="29" spans="2:9" ht="18" x14ac:dyDescent="0.35">
      <c r="B29" s="216" t="s">
        <v>39</v>
      </c>
      <c r="C29" s="237"/>
      <c r="D29" s="210">
        <v>0.8</v>
      </c>
      <c r="E29" s="209">
        <f>Tableau8[[#This Row],[Nbre d''animaux]]*Tableau8[[#This Row],[Valeurs UGB alimentaires]]</f>
        <v>0</v>
      </c>
      <c r="F29" s="213">
        <f t="shared" si="5"/>
        <v>0</v>
      </c>
      <c r="G29" s="163">
        <f t="shared" si="4"/>
        <v>0</v>
      </c>
      <c r="H29" s="215">
        <f t="shared" si="6"/>
        <v>0</v>
      </c>
    </row>
    <row r="30" spans="2:9" ht="18" x14ac:dyDescent="0.35">
      <c r="B30" s="216" t="s">
        <v>40</v>
      </c>
      <c r="C30" s="237"/>
      <c r="D30" s="210">
        <v>0.9</v>
      </c>
      <c r="E30" s="209">
        <f>Tableau8[[#This Row],[Nbre d''animaux]]*Tableau8[[#This Row],[Valeurs UGB alimentaires]]</f>
        <v>0</v>
      </c>
      <c r="F30" s="213">
        <f t="shared" si="5"/>
        <v>0</v>
      </c>
      <c r="G30" s="163">
        <f t="shared" si="4"/>
        <v>0</v>
      </c>
      <c r="H30" s="215">
        <f t="shared" si="6"/>
        <v>0</v>
      </c>
    </row>
    <row r="31" spans="2:9" ht="18" x14ac:dyDescent="0.35">
      <c r="B31" s="216" t="s">
        <v>41</v>
      </c>
      <c r="C31" s="237"/>
      <c r="D31" s="210">
        <v>0.95</v>
      </c>
      <c r="E31" s="209">
        <f>Tableau8[[#This Row],[Nbre d''animaux]]*Tableau8[[#This Row],[Valeurs UGB alimentaires]]</f>
        <v>0</v>
      </c>
      <c r="F31" s="213">
        <f t="shared" si="5"/>
        <v>0</v>
      </c>
      <c r="G31" s="163">
        <f t="shared" si="4"/>
        <v>0</v>
      </c>
      <c r="H31" s="215">
        <f t="shared" si="6"/>
        <v>0</v>
      </c>
    </row>
    <row r="32" spans="2:9" ht="18" x14ac:dyDescent="0.35">
      <c r="B32" s="216" t="s">
        <v>42</v>
      </c>
      <c r="C32" s="237"/>
      <c r="D32" s="210">
        <v>0.45</v>
      </c>
      <c r="E32" s="209">
        <f>Tableau8[[#This Row],[Nbre d''animaux]]*Tableau8[[#This Row],[Valeurs UGB alimentaires]]</f>
        <v>0</v>
      </c>
      <c r="F32" s="213">
        <f t="shared" si="5"/>
        <v>0</v>
      </c>
      <c r="G32" s="163">
        <f t="shared" si="4"/>
        <v>0</v>
      </c>
      <c r="H32" s="215">
        <f t="shared" si="6"/>
        <v>0</v>
      </c>
    </row>
    <row r="33" spans="2:8" ht="18" x14ac:dyDescent="0.35">
      <c r="B33" s="216" t="s">
        <v>27</v>
      </c>
      <c r="C33" s="237"/>
      <c r="D33" s="210">
        <v>0.6</v>
      </c>
      <c r="E33" s="209">
        <f>Tableau8[[#This Row],[Nbre d''animaux]]*Tableau8[[#This Row],[Valeurs UGB alimentaires]]</f>
        <v>0</v>
      </c>
      <c r="F33" s="213">
        <f t="shared" si="5"/>
        <v>0</v>
      </c>
      <c r="G33" s="163">
        <f t="shared" si="4"/>
        <v>0</v>
      </c>
      <c r="H33" s="215">
        <f t="shared" si="6"/>
        <v>0</v>
      </c>
    </row>
    <row r="34" spans="2:8" ht="18" x14ac:dyDescent="0.35">
      <c r="B34" s="216" t="s">
        <v>43</v>
      </c>
      <c r="C34" s="237"/>
      <c r="D34" s="210">
        <v>0.8</v>
      </c>
      <c r="E34" s="209">
        <f>Tableau8[[#This Row],[Nbre d''animaux]]*Tableau8[[#This Row],[Valeurs UGB alimentaires]]</f>
        <v>0</v>
      </c>
      <c r="F34" s="213">
        <f t="shared" si="5"/>
        <v>0</v>
      </c>
      <c r="G34" s="163">
        <f t="shared" si="4"/>
        <v>0</v>
      </c>
      <c r="H34" s="215">
        <f t="shared" si="6"/>
        <v>0</v>
      </c>
    </row>
    <row r="35" spans="2:8" ht="18" x14ac:dyDescent="0.35">
      <c r="B35" s="216" t="s">
        <v>44</v>
      </c>
      <c r="C35" s="237"/>
      <c r="D35" s="210">
        <v>1</v>
      </c>
      <c r="E35" s="209">
        <f>Tableau8[[#This Row],[Nbre d''animaux]]*Tableau8[[#This Row],[Valeurs UGB alimentaires]]</f>
        <v>0</v>
      </c>
      <c r="F35" s="213">
        <f t="shared" si="5"/>
        <v>0</v>
      </c>
      <c r="G35" s="163">
        <f t="shared" ref="G35:G42" si="7">5700*365*$E35</f>
        <v>0</v>
      </c>
      <c r="H35" s="215">
        <f t="shared" si="6"/>
        <v>0</v>
      </c>
    </row>
    <row r="36" spans="2:8" ht="18" x14ac:dyDescent="0.35">
      <c r="B36" s="216" t="s">
        <v>45</v>
      </c>
      <c r="C36" s="237"/>
      <c r="D36" s="210">
        <v>1</v>
      </c>
      <c r="E36" s="209">
        <f>Tableau8[[#This Row],[Nbre d''animaux]]*Tableau8[[#This Row],[Valeurs UGB alimentaires]]</f>
        <v>0</v>
      </c>
      <c r="F36" s="213">
        <f t="shared" si="5"/>
        <v>0</v>
      </c>
      <c r="G36" s="163">
        <f t="shared" si="7"/>
        <v>0</v>
      </c>
      <c r="H36" s="215">
        <f t="shared" si="6"/>
        <v>0</v>
      </c>
    </row>
    <row r="37" spans="2:8" ht="18" x14ac:dyDescent="0.35">
      <c r="B37" s="216" t="s">
        <v>46</v>
      </c>
      <c r="C37" s="237"/>
      <c r="D37" s="210">
        <v>1.2</v>
      </c>
      <c r="E37" s="209">
        <f>Tableau8[[#This Row],[Nbre d''animaux]]*Tableau8[[#This Row],[Valeurs UGB alimentaires]]</f>
        <v>0</v>
      </c>
      <c r="F37" s="213">
        <f t="shared" si="5"/>
        <v>0</v>
      </c>
      <c r="G37" s="163">
        <f t="shared" si="7"/>
        <v>0</v>
      </c>
      <c r="H37" s="215">
        <f t="shared" si="6"/>
        <v>0</v>
      </c>
    </row>
    <row r="38" spans="2:8" ht="18" x14ac:dyDescent="0.35">
      <c r="B38" s="216" t="s">
        <v>47</v>
      </c>
      <c r="C38" s="238"/>
      <c r="D38" s="210">
        <v>0.45</v>
      </c>
      <c r="E38" s="209">
        <f>Tableau8[[#This Row],[Nbre d''animaux]]*Tableau8[[#This Row],[Valeurs UGB alimentaires]]</f>
        <v>0</v>
      </c>
      <c r="F38" s="213">
        <f t="shared" si="5"/>
        <v>0</v>
      </c>
      <c r="G38" s="163">
        <f t="shared" si="7"/>
        <v>0</v>
      </c>
      <c r="H38" s="215">
        <f t="shared" si="6"/>
        <v>0</v>
      </c>
    </row>
    <row r="39" spans="2:8" ht="18" x14ac:dyDescent="0.35">
      <c r="B39" s="216" t="s">
        <v>48</v>
      </c>
      <c r="C39" s="238"/>
      <c r="D39" s="210">
        <v>0.6</v>
      </c>
      <c r="E39" s="209">
        <f>Tableau8[[#This Row],[Nbre d''animaux]]*Tableau8[[#This Row],[Valeurs UGB alimentaires]]</f>
        <v>0</v>
      </c>
      <c r="F39" s="213">
        <f t="shared" si="5"/>
        <v>0</v>
      </c>
      <c r="G39" s="163">
        <f t="shared" si="7"/>
        <v>0</v>
      </c>
      <c r="H39" s="215">
        <f t="shared" si="6"/>
        <v>0</v>
      </c>
    </row>
    <row r="40" spans="2:8" ht="18" x14ac:dyDescent="0.35">
      <c r="B40" s="216" t="s">
        <v>49</v>
      </c>
      <c r="C40" s="238"/>
      <c r="D40" s="210">
        <v>0.8</v>
      </c>
      <c r="E40" s="209">
        <f>Tableau8[[#This Row],[Nbre d''animaux]]*Tableau8[[#This Row],[Valeurs UGB alimentaires]]</f>
        <v>0</v>
      </c>
      <c r="F40" s="213">
        <f t="shared" si="5"/>
        <v>0</v>
      </c>
      <c r="G40" s="163">
        <f t="shared" si="7"/>
        <v>0</v>
      </c>
      <c r="H40" s="215">
        <f t="shared" si="6"/>
        <v>0</v>
      </c>
    </row>
    <row r="41" spans="2:8" ht="18" x14ac:dyDescent="0.35">
      <c r="B41" s="216" t="s">
        <v>50</v>
      </c>
      <c r="C41" s="238"/>
      <c r="D41" s="210">
        <v>1</v>
      </c>
      <c r="E41" s="209">
        <f>Tableau8[[#This Row],[Nbre d''animaux]]*Tableau8[[#This Row],[Valeurs UGB alimentaires]]</f>
        <v>0</v>
      </c>
      <c r="F41" s="213">
        <f t="shared" si="5"/>
        <v>0</v>
      </c>
      <c r="G41" s="163">
        <f t="shared" si="7"/>
        <v>0</v>
      </c>
      <c r="H41" s="215">
        <f t="shared" si="6"/>
        <v>0</v>
      </c>
    </row>
    <row r="42" spans="2:8" ht="18.600000000000001" thickBot="1" x14ac:dyDescent="0.4">
      <c r="B42" s="217" t="s">
        <v>51</v>
      </c>
      <c r="C42" s="238"/>
      <c r="D42" s="211">
        <v>1</v>
      </c>
      <c r="E42" s="209">
        <f>Tableau8[[#This Row],[Nbre d''animaux]]*Tableau8[[#This Row],[Valeurs UGB alimentaires]]</f>
        <v>0</v>
      </c>
      <c r="F42" s="213">
        <f t="shared" si="5"/>
        <v>0</v>
      </c>
      <c r="G42" s="163">
        <f t="shared" si="7"/>
        <v>0</v>
      </c>
      <c r="H42" s="215">
        <f t="shared" si="6"/>
        <v>0</v>
      </c>
    </row>
    <row r="43" spans="2:8" ht="21.6" thickBot="1" x14ac:dyDescent="0.45">
      <c r="B43" s="225" t="s">
        <v>5</v>
      </c>
      <c r="C43" s="226">
        <f>SUM(C25:C42)</f>
        <v>0</v>
      </c>
      <c r="D43" s="227"/>
      <c r="E43" s="228">
        <f>SUM(E25:E42)</f>
        <v>0</v>
      </c>
      <c r="F43" s="229">
        <f>SUM(F25:F42)</f>
        <v>0</v>
      </c>
      <c r="G43" s="230">
        <f>SUM(G25:G42)</f>
        <v>0</v>
      </c>
      <c r="H43" s="231">
        <f>SUM(H25:H42)</f>
        <v>0</v>
      </c>
    </row>
    <row r="51" spans="1:1" s="14" customFormat="1" x14ac:dyDescent="0.3"/>
    <row r="52" spans="1:1" s="14" customFormat="1" x14ac:dyDescent="0.3">
      <c r="A52"/>
    </row>
    <row r="53" spans="1:1" s="14" customFormat="1" x14ac:dyDescent="0.3">
      <c r="A53"/>
    </row>
    <row r="76" s="14" customFormat="1" x14ac:dyDescent="0.3"/>
  </sheetData>
  <sheetProtection sheet="1" formatColumns="0" selectLockedCells="1"/>
  <mergeCells count="3">
    <mergeCell ref="B3:H3"/>
    <mergeCell ref="B2:H2"/>
    <mergeCell ref="B23:E23"/>
  </mergeCells>
  <dataValidations count="1">
    <dataValidation type="list" allowBlank="1" showInputMessage="1" showErrorMessage="1" sqref="F23">
      <formula1>"CHOISIR,LIMOUSINE,CHAROLAISE,BLONDE D'AQUITAINE,SALERS,AUBRAC"</formula1>
    </dataValidation>
  </dataValidations>
  <pageMargins left="0.7" right="0.7" top="0.75" bottom="0.75" header="0.3" footer="0.3"/>
  <pageSetup paperSize="9" orientation="portrait" r:id="rId1"/>
  <legacyDrawing r:id="rId2"/>
  <tableParts count="2">
    <tablePart r:id="rId3"/>
    <tablePart r:id="rId4"/>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tabColor theme="5" tint="-0.499984740745262"/>
  </sheetPr>
  <dimension ref="B1:E20"/>
  <sheetViews>
    <sheetView showGridLines="0" topLeftCell="B1" zoomScale="85" zoomScaleNormal="85" workbookViewId="0">
      <selection activeCell="B1" sqref="B1"/>
    </sheetView>
  </sheetViews>
  <sheetFormatPr baseColWidth="10" defaultRowHeight="14.4" x14ac:dyDescent="0.3"/>
  <cols>
    <col min="1" max="1" width="30.88671875" customWidth="1"/>
    <col min="2" max="2" width="52.5546875" customWidth="1"/>
    <col min="3" max="3" width="30.109375" customWidth="1"/>
    <col min="4" max="4" width="16.21875" customWidth="1"/>
    <col min="5" max="5" width="20.21875" customWidth="1"/>
  </cols>
  <sheetData>
    <row r="1" spans="2:5" s="20" customFormat="1" ht="29.4" customHeight="1" thickBot="1" x14ac:dyDescent="0.35"/>
    <row r="2" spans="2:5" ht="26.4" thickBot="1" x14ac:dyDescent="0.55000000000000004">
      <c r="B2" s="556" t="s">
        <v>307</v>
      </c>
      <c r="C2" s="558"/>
      <c r="D2" s="558"/>
      <c r="E2" s="557"/>
    </row>
    <row r="3" spans="2:5" ht="21.6" thickBot="1" x14ac:dyDescent="0.45">
      <c r="B3" s="242" t="s">
        <v>104</v>
      </c>
      <c r="C3" s="243" t="s">
        <v>19</v>
      </c>
      <c r="D3" s="243" t="s">
        <v>148</v>
      </c>
      <c r="E3" s="244" t="s">
        <v>22</v>
      </c>
    </row>
    <row r="4" spans="2:5" ht="18" x14ac:dyDescent="0.35">
      <c r="B4" s="171" t="s">
        <v>259</v>
      </c>
      <c r="C4" s="175">
        <f>SUM('⑥ Troupeau laitier '!C4,'⑥ Troupeau laitier '!C5,'⑥ Troupeau laitier '!C6,'⑥ Troupeau laitier '!C7)</f>
        <v>0</v>
      </c>
      <c r="D4" s="175">
        <v>1</v>
      </c>
      <c r="E4" s="245">
        <f>$C4*$D4</f>
        <v>0</v>
      </c>
    </row>
    <row r="5" spans="2:5" ht="18" x14ac:dyDescent="0.35">
      <c r="B5" s="172" t="s">
        <v>149</v>
      </c>
      <c r="C5" s="177">
        <f>SUM('⑦ Troupeau viandeux'!C25,'⑦ Troupeau viandeux'!C26)</f>
        <v>0</v>
      </c>
      <c r="D5" s="177">
        <v>0.8</v>
      </c>
      <c r="E5" s="245">
        <f t="shared" ref="E5:E10" si="0">$C5*$D5</f>
        <v>0</v>
      </c>
    </row>
    <row r="6" spans="2:5" ht="18" x14ac:dyDescent="0.35">
      <c r="B6" s="172" t="s">
        <v>150</v>
      </c>
      <c r="C6" s="177">
        <f>SUM('⑥ Troupeau laitier '!C8,'⑥ Troupeau laitier '!C12,'⑥ Troupeau laitier '!C14,Tableau7[[#This Row],[Nbre d''animaux]],'⑦ Troupeau viandeux'!C11,'⑦ Troupeau viandeux'!C17,'⑦ Troupeau viandeux'!C27,'⑦ Troupeau viandeux'!C32,'⑦ Troupeau viandeux'!C38)</f>
        <v>0</v>
      </c>
      <c r="D6" s="177">
        <v>0.4</v>
      </c>
      <c r="E6" s="245">
        <f t="shared" si="0"/>
        <v>0</v>
      </c>
    </row>
    <row r="7" spans="2:5" ht="18" x14ac:dyDescent="0.35">
      <c r="B7" s="172" t="s">
        <v>153</v>
      </c>
      <c r="C7" s="177">
        <f>SUM('⑥ Troupeau laitier '!C9,'⑥ Troupeau laitier '!C13,'⑥ Troupeau laitier '!C15,Tableau7[[#This Row],[Nbre d''animaux]],'⑦ Troupeau viandeux'!C12,'⑦ Troupeau viandeux'!C16,'⑦ Troupeau viandeux'!C18,'⑦ Troupeau viandeux'!C28,'⑦ Troupeau viandeux'!C33,'⑦ Troupeau viandeux'!C37,'⑦ Troupeau viandeux'!C39)</f>
        <v>0</v>
      </c>
      <c r="D7" s="177">
        <v>0.6</v>
      </c>
      <c r="E7" s="245">
        <f t="shared" si="0"/>
        <v>0</v>
      </c>
    </row>
    <row r="8" spans="2:5" ht="18" x14ac:dyDescent="0.35">
      <c r="B8" s="172" t="s">
        <v>152</v>
      </c>
      <c r="C8" s="177">
        <f>SUM('⑥ Troupeau laitier '!C11,'⑥ Troupeau laitier '!C16,'⑦ Troupeau viandeux'!C13,'⑦ Troupeau viandeux'!C14,'⑦ Troupeau viandeux'!C15,'⑦ Troupeau viandeux'!C19,'⑦ Troupeau viandeux'!C20,'⑦ Troupeau viandeux'!C21,'⑦ Troupeau viandeux'!C34,'⑦ Troupeau viandeux'!C35,'⑦ Troupeau viandeux'!C36,'⑦ Troupeau viandeux'!C40,'⑦ Troupeau viandeux'!C41,'⑦ Troupeau viandeux'!C42)</f>
        <v>0</v>
      </c>
      <c r="D8" s="177">
        <v>1</v>
      </c>
      <c r="E8" s="245">
        <f t="shared" si="0"/>
        <v>0</v>
      </c>
    </row>
    <row r="9" spans="2:5" ht="18" x14ac:dyDescent="0.35">
      <c r="B9" s="172" t="s">
        <v>151</v>
      </c>
      <c r="C9" s="177">
        <f>SUM('⑥ Troupeau laitier '!C10,'⑦ Troupeau viandeux'!C8,'⑦ Troupeau viandeux'!C29)</f>
        <v>0</v>
      </c>
      <c r="D9" s="177">
        <v>0.8</v>
      </c>
      <c r="E9" s="245">
        <f t="shared" si="0"/>
        <v>0</v>
      </c>
    </row>
    <row r="10" spans="2:5" ht="18.600000000000001" thickBot="1" x14ac:dyDescent="0.4">
      <c r="B10" s="174" t="s">
        <v>260</v>
      </c>
      <c r="C10" s="246">
        <f>SUM('⑦ Troupeau viandeux'!C9,Tableau7[[#This Row],[Nbre d''animaux]],'⑦ Troupeau viandeux'!C30,'⑦ Troupeau viandeux'!C31)</f>
        <v>0</v>
      </c>
      <c r="D10" s="246">
        <v>0.8</v>
      </c>
      <c r="E10" s="245">
        <f t="shared" si="0"/>
        <v>0</v>
      </c>
    </row>
    <row r="11" spans="2:5" ht="21.6" thickBot="1" x14ac:dyDescent="0.45">
      <c r="B11" s="239" t="s">
        <v>5</v>
      </c>
      <c r="C11" s="240">
        <f>SUM(C4:C10)</f>
        <v>0</v>
      </c>
      <c r="D11" s="227"/>
      <c r="E11" s="241">
        <f>SUM(E4:E10)</f>
        <v>0</v>
      </c>
    </row>
    <row r="12" spans="2:5" ht="15" thickBot="1" x14ac:dyDescent="0.35">
      <c r="B12" s="20"/>
      <c r="C12" s="20"/>
      <c r="D12" s="20"/>
      <c r="E12" s="20"/>
    </row>
    <row r="13" spans="2:5" ht="21.6" thickBot="1" x14ac:dyDescent="0.45">
      <c r="B13" s="16" t="s">
        <v>261</v>
      </c>
      <c r="C13" s="247" t="str">
        <f>IF('① Assolement '!D10=0,"",E11/'① Assolement '!D10)</f>
        <v/>
      </c>
      <c r="D13" s="20"/>
      <c r="E13" s="20"/>
    </row>
    <row r="14" spans="2:5" ht="15" thickBot="1" x14ac:dyDescent="0.35">
      <c r="B14" s="20"/>
      <c r="C14" s="20"/>
      <c r="D14" s="20"/>
      <c r="E14" s="20"/>
    </row>
    <row r="15" spans="2:5" ht="21.6" thickBot="1" x14ac:dyDescent="0.45">
      <c r="B15" s="16" t="s">
        <v>154</v>
      </c>
      <c r="C15" s="247" t="str">
        <f>IF(SUM('① Assolement '!D4,'① Assolement '!D5)=0,"",'⑧ Taux de chargement'!E11/SUM('① Assolement '!D4,'① Assolement '!D5))</f>
        <v/>
      </c>
      <c r="D15" s="20"/>
      <c r="E15" s="20"/>
    </row>
    <row r="16" spans="2:5" ht="15" thickBot="1" x14ac:dyDescent="0.35">
      <c r="B16" s="20"/>
      <c r="C16" s="20"/>
      <c r="D16" s="20"/>
      <c r="E16" s="20"/>
    </row>
    <row r="17" spans="2:5" ht="21.6" thickBot="1" x14ac:dyDescent="0.45">
      <c r="B17" s="16" t="s">
        <v>155</v>
      </c>
      <c r="C17" s="247" t="str">
        <f>IF('① Assolement '!D4=0,"",'⑧ Taux de chargement'!E11/'① Assolement '!D4)</f>
        <v/>
      </c>
      <c r="D17" s="20"/>
      <c r="E17" s="20"/>
    </row>
    <row r="18" spans="2:5" ht="15" thickBot="1" x14ac:dyDescent="0.35">
      <c r="B18" s="20"/>
      <c r="C18" s="20"/>
      <c r="D18" s="20"/>
      <c r="E18" s="20"/>
    </row>
    <row r="19" spans="2:5" ht="21.6" thickBot="1" x14ac:dyDescent="0.45">
      <c r="B19" s="16" t="s">
        <v>156</v>
      </c>
      <c r="C19" s="247" t="str">
        <f>IF('① Assolement '!D5=0,"",'⑧ Taux de chargement'!E11/'① Assolement '!D5)</f>
        <v/>
      </c>
      <c r="D19" s="20"/>
      <c r="E19" s="20"/>
    </row>
    <row r="20" spans="2:5" x14ac:dyDescent="0.3">
      <c r="B20" s="20"/>
      <c r="C20" s="20"/>
      <c r="D20" s="20"/>
      <c r="E20" s="20"/>
    </row>
  </sheetData>
  <sheetProtection sheet="1" formatColumns="0" selectLockedCells="1"/>
  <mergeCells count="1">
    <mergeCell ref="B2:E2"/>
  </mergeCells>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3">
    <tabColor theme="7" tint="0.39997558519241921"/>
  </sheetPr>
  <dimension ref="B1:J31"/>
  <sheetViews>
    <sheetView showGridLines="0" zoomScale="80" zoomScaleNormal="80" workbookViewId="0">
      <selection activeCell="C20" sqref="C20"/>
    </sheetView>
  </sheetViews>
  <sheetFormatPr baseColWidth="10" defaultRowHeight="14.4" x14ac:dyDescent="0.3"/>
  <cols>
    <col min="1" max="1" width="14.5546875" customWidth="1"/>
    <col min="2" max="2" width="44.77734375" customWidth="1"/>
    <col min="3" max="3" width="30" style="5" customWidth="1"/>
    <col min="4" max="4" width="16.5546875" customWidth="1"/>
    <col min="5" max="5" width="26.33203125" customWidth="1"/>
    <col min="6" max="6" width="22.21875" customWidth="1"/>
    <col min="8" max="8" width="27.21875" customWidth="1"/>
    <col min="9" max="9" width="30.21875" customWidth="1"/>
  </cols>
  <sheetData>
    <row r="1" spans="2:10" s="20" customFormat="1" ht="25.2" customHeight="1" thickBot="1" x14ac:dyDescent="0.35"/>
    <row r="2" spans="2:10" ht="26.4" thickBot="1" x14ac:dyDescent="0.55000000000000004">
      <c r="B2" s="556" t="s">
        <v>312</v>
      </c>
      <c r="C2" s="558"/>
      <c r="D2" s="558"/>
      <c r="E2" s="558"/>
      <c r="F2" s="557"/>
      <c r="G2" s="8"/>
      <c r="H2" s="8"/>
      <c r="I2" s="8"/>
      <c r="J2" s="8"/>
    </row>
    <row r="3" spans="2:10" ht="21.6" thickBot="1" x14ac:dyDescent="0.45">
      <c r="B3" s="188" t="s">
        <v>61</v>
      </c>
      <c r="C3" s="159" t="s">
        <v>127</v>
      </c>
      <c r="D3" s="159" t="s">
        <v>128</v>
      </c>
      <c r="E3" s="159" t="s">
        <v>129</v>
      </c>
      <c r="F3" s="189" t="s">
        <v>130</v>
      </c>
    </row>
    <row r="4" spans="2:10" ht="18" x14ac:dyDescent="0.35">
      <c r="B4" s="346" t="s">
        <v>2</v>
      </c>
      <c r="C4" s="359"/>
      <c r="D4" s="351" t="str">
        <f>IF(SUM('① Assolement '!D4,'① Assolement '!D5)=0,"",C4/SUM('① Assolement '!D4,'① Assolement '!D5))</f>
        <v/>
      </c>
      <c r="E4" s="351" t="str">
        <f>IF(SUM('② Récolte'!F29:F103)=0,"",C4/SUM('② Récolte'!F29:F103))</f>
        <v/>
      </c>
      <c r="F4" s="352" t="str">
        <f>IF(SUM('② Récolte'!H29:H103,'③ Pâturage'!H31)=0,"",$C$4/SUM('② Récolte'!H29:H103,'③ Pâturage'!H31))</f>
        <v/>
      </c>
    </row>
    <row r="5" spans="2:10" ht="18" x14ac:dyDescent="0.35">
      <c r="B5" s="347" t="s">
        <v>3</v>
      </c>
      <c r="C5" s="360"/>
      <c r="D5" s="353" t="str">
        <f>IF('② Récolte'!D4=0,"",$C$5/SUM('② Récolte'!D4:D7))</f>
        <v/>
      </c>
      <c r="E5" s="353" t="str">
        <f>IF('② Récolte'!F4=0,"",$C$5/SUM('② Récolte'!F4:F7))</f>
        <v/>
      </c>
      <c r="F5" s="354" t="str">
        <f>IF('② Récolte'!H4=0,"",$C$5/SUM('② Récolte'!H4:H7))</f>
        <v/>
      </c>
    </row>
    <row r="6" spans="2:10" ht="18" x14ac:dyDescent="0.35">
      <c r="B6" s="347" t="s">
        <v>234</v>
      </c>
      <c r="C6" s="360"/>
      <c r="D6" s="353" t="str">
        <f>IF('② Récolte'!D8=0,"",$C$6/'② Récolte'!D8)</f>
        <v/>
      </c>
      <c r="E6" s="353" t="str">
        <f>IF('② Récolte'!F8=0,"",$C6/'② Récolte'!F8)</f>
        <v/>
      </c>
      <c r="F6" s="354" t="str">
        <f>IF('② Récolte'!H8=0,"",$C$6/'② Récolte'!H8)</f>
        <v/>
      </c>
      <c r="H6" s="20"/>
    </row>
    <row r="7" spans="2:10" ht="18" x14ac:dyDescent="0.35">
      <c r="B7" s="347" t="s">
        <v>235</v>
      </c>
      <c r="C7" s="360"/>
      <c r="D7" s="353" t="str">
        <f>IF('② Récolte'!D9=0,"",$C$7/'② Récolte'!D9)</f>
        <v/>
      </c>
      <c r="E7" s="353" t="str">
        <f>IF('② Récolte'!F9=0,"",$C$7/'② Récolte'!F9)</f>
        <v/>
      </c>
      <c r="F7" s="354" t="str">
        <f>IF('② Récolte'!H9=0,"",$C$7/'② Récolte'!H9)</f>
        <v/>
      </c>
    </row>
    <row r="8" spans="2:10" ht="18" x14ac:dyDescent="0.35">
      <c r="B8" s="347" t="s">
        <v>236</v>
      </c>
      <c r="C8" s="360"/>
      <c r="D8" s="353" t="str">
        <f>IF('② Récolte'!D10=0,"",$C$8/'② Récolte'!D10)</f>
        <v/>
      </c>
      <c r="E8" s="353" t="str">
        <f>IF('② Récolte'!F10=0,"",$C$8/'② Récolte'!F10)</f>
        <v/>
      </c>
      <c r="F8" s="354" t="str">
        <f>IF('② Récolte'!H10=0,"",$C$8/'② Récolte'!H10)</f>
        <v/>
      </c>
    </row>
    <row r="9" spans="2:10" ht="18" x14ac:dyDescent="0.35">
      <c r="B9" s="347" t="s">
        <v>237</v>
      </c>
      <c r="C9" s="360"/>
      <c r="D9" s="353" t="str">
        <f>IF('② Récolte'!D11=0,"",$C$9/'② Récolte'!D11)</f>
        <v/>
      </c>
      <c r="E9" s="353" t="str">
        <f>IF('② Récolte'!F11=0,"",$C$9/'② Récolte'!F11)</f>
        <v/>
      </c>
      <c r="F9" s="354" t="str">
        <f>IF('② Récolte'!H11=0,"",$C$9/'② Récolte'!H11)</f>
        <v/>
      </c>
      <c r="H9" s="5"/>
      <c r="I9" s="5"/>
    </row>
    <row r="10" spans="2:10" ht="18" x14ac:dyDescent="0.35">
      <c r="B10" s="347" t="s">
        <v>238</v>
      </c>
      <c r="C10" s="360"/>
      <c r="D10" s="353" t="str">
        <f>IF('② Récolte'!D12=0,"",$C$10/'② Récolte'!D12)</f>
        <v/>
      </c>
      <c r="E10" s="353" t="str">
        <f>IF('② Récolte'!F12=0,"",$C$10/'② Récolte'!F12)</f>
        <v/>
      </c>
      <c r="F10" s="354" t="str">
        <f>IF('② Récolte'!H12=0,"",$C$10/'② Récolte'!H12)</f>
        <v/>
      </c>
      <c r="H10" s="5"/>
      <c r="I10" s="5"/>
    </row>
    <row r="11" spans="2:10" s="5" customFormat="1" ht="18" x14ac:dyDescent="0.35">
      <c r="B11" s="347" t="s">
        <v>275</v>
      </c>
      <c r="C11" s="360"/>
      <c r="D11" s="353" t="str">
        <f>IF('② Récolte'!D13=0,"",$C$11/'② Récolte'!D13)</f>
        <v/>
      </c>
      <c r="E11" s="353" t="str">
        <f>IF('② Récolte'!F13=0,"",$C$11/'② Récolte'!F13)</f>
        <v/>
      </c>
      <c r="F11" s="354" t="str">
        <f>IF('② Récolte'!H13=0,"",$C$11/'② Récolte'!H13)</f>
        <v/>
      </c>
    </row>
    <row r="12" spans="2:10" s="5" customFormat="1" ht="18" x14ac:dyDescent="0.35">
      <c r="B12" s="347" t="s">
        <v>62</v>
      </c>
      <c r="C12" s="360"/>
      <c r="D12" s="353" t="str">
        <f>IF('② Récolte'!D15=0,"",$C$12/'② Récolte'!D15)</f>
        <v/>
      </c>
      <c r="E12" s="353" t="str">
        <f>IF('② Récolte'!F15=0,"",$C$12/'② Récolte'!F15)</f>
        <v/>
      </c>
      <c r="F12" s="354" t="str">
        <f>IF('② Récolte'!H15=0,"",$C$12/'② Récolte'!H15)</f>
        <v/>
      </c>
      <c r="H12"/>
      <c r="I12"/>
    </row>
    <row r="13" spans="2:10" s="5" customFormat="1" ht="18" x14ac:dyDescent="0.35">
      <c r="B13" s="347" t="s">
        <v>63</v>
      </c>
      <c r="C13" s="360"/>
      <c r="D13" s="353" t="str">
        <f>IF('② Récolte'!D17=0,"",$C$13/'② Récolte'!D17)</f>
        <v/>
      </c>
      <c r="E13" s="353" t="str">
        <f>IF('② Récolte'!F17=0,"",$C$13/'② Récolte'!F17)</f>
        <v/>
      </c>
      <c r="F13" s="354" t="str">
        <f>IF('② Récolte'!H17=0,"",$C$13/'② Récolte'!H17)</f>
        <v/>
      </c>
      <c r="H13"/>
      <c r="I13"/>
    </row>
    <row r="14" spans="2:10" ht="18" x14ac:dyDescent="0.35">
      <c r="B14" s="347" t="s">
        <v>64</v>
      </c>
      <c r="C14" s="360"/>
      <c r="D14" s="353" t="str">
        <f>IF('② Récolte'!D19=0,"",$C$14/'② Récolte'!D19)</f>
        <v/>
      </c>
      <c r="E14" s="353" t="str">
        <f>IF('② Récolte'!F19=0,"",$C$14/'② Récolte'!F19)</f>
        <v/>
      </c>
      <c r="F14" s="354" t="str">
        <f>IF('② Récolte'!H19=0,"",$C$14/'② Récolte'!H19)</f>
        <v/>
      </c>
    </row>
    <row r="15" spans="2:10" ht="18" x14ac:dyDescent="0.35">
      <c r="B15" s="347" t="s">
        <v>65</v>
      </c>
      <c r="C15" s="360"/>
      <c r="D15" s="353" t="str">
        <f>IF('② Récolte'!D21=0,"",$C$15/'② Récolte'!D21)</f>
        <v/>
      </c>
      <c r="E15" s="353" t="str">
        <f>IF('② Récolte'!F21=0,"",$C$15/'② Récolte'!F21)</f>
        <v/>
      </c>
      <c r="F15" s="354" t="str">
        <f>IF('② Récolte'!H21=0,"",$C$15/'② Récolte'!H21)</f>
        <v/>
      </c>
    </row>
    <row r="16" spans="2:10" ht="18" x14ac:dyDescent="0.35">
      <c r="B16" s="347" t="s">
        <v>274</v>
      </c>
      <c r="C16" s="360"/>
      <c r="D16" s="353" t="str">
        <f>IF('② Récolte'!D23=0,"",$C$16/'② Récolte'!D23)</f>
        <v/>
      </c>
      <c r="E16" s="353" t="str">
        <f>IF('② Récolte'!F23=0,"",$C$16/'② Récolte'!F23)</f>
        <v/>
      </c>
      <c r="F16" s="354" t="str">
        <f>IF('② Récolte'!H23=0,"",$C$16/'② Récolte'!H23)</f>
        <v/>
      </c>
    </row>
    <row r="17" spans="2:6" ht="18" x14ac:dyDescent="0.35">
      <c r="B17" s="348" t="s">
        <v>239</v>
      </c>
      <c r="C17" s="361"/>
      <c r="D17" s="355" t="str">
        <f>IF('② Récolte'!D25=0,"",$C$17/'② Récolte'!D25)</f>
        <v/>
      </c>
      <c r="E17" s="355" t="str">
        <f>IF('② Récolte'!F25=0,"",$C$17/'② Récolte'!F25)</f>
        <v/>
      </c>
      <c r="F17" s="356" t="str">
        <f>IF('② Récolte'!H25=0,"",$C$17/'② Récolte'!H25)</f>
        <v/>
      </c>
    </row>
    <row r="18" spans="2:6" ht="18" x14ac:dyDescent="0.35">
      <c r="B18" s="349" t="s">
        <v>239</v>
      </c>
      <c r="C18" s="360"/>
      <c r="D18" s="355" t="str">
        <f>IF('② Récolte'!D26=0,"",$C$18/'② Récolte'!D26)</f>
        <v/>
      </c>
      <c r="E18" s="355" t="str">
        <f>IF('② Récolte'!F26=0,"",$C$18/'② Récolte'!F26)</f>
        <v/>
      </c>
      <c r="F18" s="356" t="str">
        <f>IF('② Récolte'!H26=0,"",$C$18/'② Récolte'!H26)</f>
        <v/>
      </c>
    </row>
    <row r="19" spans="2:6" ht="18" x14ac:dyDescent="0.35">
      <c r="B19" s="349" t="s">
        <v>239</v>
      </c>
      <c r="C19" s="360"/>
      <c r="D19" s="355" t="str">
        <f>IF('② Récolte'!D27=0,"",$C$19/'② Récolte'!D27)</f>
        <v/>
      </c>
      <c r="E19" s="355" t="str">
        <f>IF('② Récolte'!F27=0,"",$C$19/'② Récolte'!F27)</f>
        <v/>
      </c>
      <c r="F19" s="356" t="str">
        <f>IF('② Récolte'!H27=0,"",$C$19/'② Récolte'!H27)</f>
        <v/>
      </c>
    </row>
    <row r="20" spans="2:6" ht="18.600000000000001" thickBot="1" x14ac:dyDescent="0.4">
      <c r="B20" s="350" t="s">
        <v>239</v>
      </c>
      <c r="C20" s="362"/>
      <c r="D20" s="355" t="str">
        <f>IF('② Récolte'!D28=0,"",$C$20/'② Récolte'!D28)</f>
        <v/>
      </c>
      <c r="E20" s="355" t="str">
        <f>IF('② Récolte'!F28=0,"",$C$20/'② Récolte'!F28)</f>
        <v/>
      </c>
      <c r="F20" s="356" t="str">
        <f>IF('② Récolte'!H28=0,"",$C$20/'② Récolte'!H28)</f>
        <v/>
      </c>
    </row>
    <row r="21" spans="2:6" ht="21.6" thickBot="1" x14ac:dyDescent="0.45">
      <c r="B21" s="239" t="s">
        <v>5</v>
      </c>
      <c r="C21" s="342">
        <f>SUM(C4:C20)</f>
        <v>0</v>
      </c>
      <c r="D21" s="343">
        <f>SUM(D4:D20)</f>
        <v>0</v>
      </c>
      <c r="E21" s="344">
        <f>SUM(E4:E20)</f>
        <v>0</v>
      </c>
      <c r="F21" s="345">
        <f>SUM(F4:F20)</f>
        <v>0</v>
      </c>
    </row>
    <row r="22" spans="2:6" ht="15" thickBot="1" x14ac:dyDescent="0.35">
      <c r="B22" s="20"/>
      <c r="C22" s="20"/>
      <c r="D22" s="20"/>
      <c r="E22" s="20"/>
      <c r="F22" s="20"/>
    </row>
    <row r="23" spans="2:6" ht="21" x14ac:dyDescent="0.4">
      <c r="B23" s="10" t="s">
        <v>126</v>
      </c>
      <c r="C23" s="363"/>
      <c r="D23" s="20"/>
      <c r="E23" s="366" t="s">
        <v>247</v>
      </c>
      <c r="F23" s="364" t="str">
        <f>IF(C25&gt;C26*0.2,"",IF(C23=0,"",C21/C23))</f>
        <v/>
      </c>
    </row>
    <row r="24" spans="2:6" ht="21.6" thickBot="1" x14ac:dyDescent="0.45">
      <c r="B24" s="11" t="s">
        <v>240</v>
      </c>
      <c r="C24" s="357">
        <f>'⑥ Troupeau laitier '!E17</f>
        <v>0</v>
      </c>
      <c r="D24" s="20"/>
      <c r="E24" s="367" t="s">
        <v>353</v>
      </c>
      <c r="F24" s="365" t="str">
        <f>IF($C$26=0,"",$C$21/$C$26)</f>
        <v/>
      </c>
    </row>
    <row r="25" spans="2:6" ht="21.6" thickBot="1" x14ac:dyDescent="0.45">
      <c r="B25" s="11" t="s">
        <v>241</v>
      </c>
      <c r="C25" s="357">
        <f>SUM('⑦ Troupeau viandeux'!E22,'⑦ Troupeau viandeux'!E43)</f>
        <v>0</v>
      </c>
      <c r="D25" s="20"/>
      <c r="E25" s="367" t="s">
        <v>248</v>
      </c>
      <c r="F25" s="365" t="str">
        <f>IF('⑧ Taux de chargement'!E11=0,"",$C$21/'⑧ Taux de chargement'!E11)</f>
        <v/>
      </c>
    </row>
    <row r="26" spans="2:6" ht="18.600000000000001" thickBot="1" x14ac:dyDescent="0.4">
      <c r="B26" s="9" t="s">
        <v>242</v>
      </c>
      <c r="C26" s="358">
        <f>SUM(C24,C25)</f>
        <v>0</v>
      </c>
      <c r="D26" s="20"/>
      <c r="E26" s="20"/>
      <c r="F26" s="20"/>
    </row>
    <row r="31" spans="2:6" x14ac:dyDescent="0.3">
      <c r="B31" s="20"/>
    </row>
  </sheetData>
  <sheetProtection sheet="1" formatColumns="0" selectLockedCells="1"/>
  <mergeCells count="1">
    <mergeCell ref="B2:F2"/>
  </mergeCells>
  <pageMargins left="0.7" right="0.7" top="0.75" bottom="0.75" header="0.3" footer="0.3"/>
  <pageSetup paperSize="9" orientation="portrait" r:id="rId1"/>
  <legacyDrawing r:id="rId2"/>
  <tableParts count="1">
    <tablePart r:id="rId3"/>
  </tablePart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1">
    <tabColor theme="7"/>
  </sheetPr>
  <dimension ref="B1:K50"/>
  <sheetViews>
    <sheetView showGridLines="0" topLeftCell="A17" zoomScale="70" zoomScaleNormal="70" workbookViewId="0">
      <selection activeCell="D34" sqref="D34"/>
    </sheetView>
  </sheetViews>
  <sheetFormatPr baseColWidth="10" defaultRowHeight="14.4" x14ac:dyDescent="0.3"/>
  <cols>
    <col min="1" max="1" width="1.6640625" customWidth="1"/>
    <col min="2" max="2" width="42.5546875" customWidth="1"/>
    <col min="3" max="3" width="24" customWidth="1"/>
    <col min="4" max="4" width="20.5546875" customWidth="1"/>
    <col min="5" max="5" width="23.77734375" customWidth="1"/>
    <col min="6" max="6" width="44" customWidth="1"/>
    <col min="7" max="7" width="42" customWidth="1"/>
    <col min="8" max="8" width="41.44140625" bestFit="1" customWidth="1"/>
    <col min="9" max="9" width="37.77734375" bestFit="1" customWidth="1"/>
    <col min="10" max="11" width="31.21875" bestFit="1" customWidth="1"/>
  </cols>
  <sheetData>
    <row r="1" spans="2:11" s="20" customFormat="1" ht="8.4" customHeight="1" thickBot="1" x14ac:dyDescent="0.35"/>
    <row r="2" spans="2:11" s="248" customFormat="1" ht="25.8" x14ac:dyDescent="0.5">
      <c r="B2" s="564" t="s">
        <v>308</v>
      </c>
      <c r="C2" s="565"/>
      <c r="D2" s="565"/>
      <c r="E2" s="565"/>
      <c r="F2" s="565"/>
      <c r="G2" s="565"/>
      <c r="H2" s="565"/>
      <c r="I2" s="565"/>
      <c r="J2" s="565"/>
      <c r="K2" s="566"/>
    </row>
    <row r="3" spans="2:11" s="20" customFormat="1" ht="15" thickBot="1" x14ac:dyDescent="0.35">
      <c r="B3" s="22"/>
      <c r="C3" s="14"/>
      <c r="D3" s="14"/>
      <c r="E3" s="14"/>
      <c r="F3" s="14"/>
      <c r="G3" s="14"/>
      <c r="H3" s="14"/>
      <c r="I3" s="14"/>
      <c r="J3" s="14"/>
      <c r="K3" s="23"/>
    </row>
    <row r="4" spans="2:11" s="5" customFormat="1" ht="26.4" thickBot="1" x14ac:dyDescent="0.55000000000000004">
      <c r="B4" s="270" t="s">
        <v>53</v>
      </c>
      <c r="C4" s="249" t="s">
        <v>55</v>
      </c>
      <c r="D4" s="249" t="s">
        <v>59</v>
      </c>
      <c r="E4" s="250" t="s">
        <v>58</v>
      </c>
      <c r="F4" s="251" t="s">
        <v>354</v>
      </c>
      <c r="G4" s="252" t="s">
        <v>276</v>
      </c>
      <c r="H4" s="251" t="s">
        <v>349</v>
      </c>
      <c r="I4" s="253" t="s">
        <v>277</v>
      </c>
      <c r="J4" s="254" t="s">
        <v>249</v>
      </c>
      <c r="K4" s="255" t="s">
        <v>250</v>
      </c>
    </row>
    <row r="5" spans="2:11" s="5" customFormat="1" ht="18.600000000000001" thickBot="1" x14ac:dyDescent="0.4">
      <c r="B5" s="277"/>
      <c r="C5" s="278"/>
      <c r="D5" s="279"/>
      <c r="E5" s="304">
        <f>Tableau510111215[[#This Row],[Quantités (T)]]*Tableau510111215[[#This Row],[% MS]]</f>
        <v>0</v>
      </c>
      <c r="F5" s="467"/>
      <c r="G5" s="305">
        <f>Tableau510111215[[#This Row],[ T de MS]]*Tableau510111215[[#This Row],[VEM/kg de MS]]*1000</f>
        <v>0</v>
      </c>
      <c r="H5" s="286"/>
      <c r="I5" s="306">
        <f>Tableau510111215[[#This Row],[g de DVE/kg de MS]]*Tableau510111215[[#This Row],[ T de MS]]</f>
        <v>0</v>
      </c>
      <c r="J5" s="289"/>
      <c r="K5" s="316">
        <f>$C5*$J5</f>
        <v>0</v>
      </c>
    </row>
    <row r="6" spans="2:11" s="5" customFormat="1" ht="18.600000000000001" thickBot="1" x14ac:dyDescent="0.4">
      <c r="B6" s="280"/>
      <c r="C6" s="281"/>
      <c r="D6" s="282"/>
      <c r="E6" s="304">
        <f>Tableau510111215[[#This Row],[Quantités (T)]]*Tableau510111215[[#This Row],[% MS]]</f>
        <v>0</v>
      </c>
      <c r="F6" s="468"/>
      <c r="G6" s="305">
        <f>Tableau510111215[[#This Row],[ T de MS]]*Tableau510111215[[#This Row],[VEM/kg de MS]]*1000</f>
        <v>0</v>
      </c>
      <c r="H6" s="287"/>
      <c r="I6" s="307">
        <f>Tableau510111215[[#This Row],[g de DVE/kg de MS]]*Tableau510111215[[#This Row],[ T de MS]]</f>
        <v>0</v>
      </c>
      <c r="J6" s="290"/>
      <c r="K6" s="316">
        <f>$C6*$J6</f>
        <v>0</v>
      </c>
    </row>
    <row r="7" spans="2:11" s="5" customFormat="1" ht="18.600000000000001" thickBot="1" x14ac:dyDescent="0.4">
      <c r="B7" s="280"/>
      <c r="C7" s="281"/>
      <c r="D7" s="282"/>
      <c r="E7" s="304">
        <f>Tableau510111215[[#This Row],[Quantités (T)]]*Tableau510111215[[#This Row],[% MS]]</f>
        <v>0</v>
      </c>
      <c r="F7" s="468"/>
      <c r="G7" s="305">
        <f>Tableau510111215[[#This Row],[ T de MS]]*Tableau510111215[[#This Row],[VEM/kg de MS]]*1000</f>
        <v>0</v>
      </c>
      <c r="H7" s="287"/>
      <c r="I7" s="307">
        <f>Tableau510111215[[#This Row],[g de DVE/kg de MS]]*Tableau510111215[[#This Row],[ T de MS]]</f>
        <v>0</v>
      </c>
      <c r="J7" s="290"/>
      <c r="K7" s="316">
        <f>$C7*$J7</f>
        <v>0</v>
      </c>
    </row>
    <row r="8" spans="2:11" s="5" customFormat="1" ht="18.600000000000001" thickBot="1" x14ac:dyDescent="0.4">
      <c r="B8" s="283"/>
      <c r="C8" s="284"/>
      <c r="D8" s="285"/>
      <c r="E8" s="304">
        <f>Tableau510111215[[#This Row],[Quantités (T)]]*Tableau510111215[[#This Row],[% MS]]</f>
        <v>0</v>
      </c>
      <c r="F8" s="469"/>
      <c r="G8" s="305">
        <f>Tableau510111215[[#This Row],[ T de MS]]*Tableau510111215[[#This Row],[VEM/kg de MS]]*1000</f>
        <v>0</v>
      </c>
      <c r="H8" s="288"/>
      <c r="I8" s="308">
        <f>Tableau510111215[[#This Row],[g de DVE/kg de MS]]*Tableau510111215[[#This Row],[ T de MS]]</f>
        <v>0</v>
      </c>
      <c r="J8" s="291"/>
      <c r="K8" s="316">
        <f>$C8*$J8</f>
        <v>0</v>
      </c>
    </row>
    <row r="9" spans="2:11" s="5" customFormat="1" ht="26.4" thickBot="1" x14ac:dyDescent="0.55000000000000004">
      <c r="B9" s="256" t="s">
        <v>5</v>
      </c>
      <c r="C9" s="257">
        <f>SUM(C5:C8)</f>
        <v>0</v>
      </c>
      <c r="D9" s="257"/>
      <c r="E9" s="258">
        <f>SUM(E5:E8)</f>
        <v>0</v>
      </c>
      <c r="F9" s="470"/>
      <c r="G9" s="260">
        <f t="shared" ref="G9" si="0">SUM(G5:G8)</f>
        <v>0</v>
      </c>
      <c r="H9" s="261"/>
      <c r="I9" s="262">
        <f>SUM(I5:I8)</f>
        <v>0</v>
      </c>
      <c r="J9" s="263"/>
      <c r="K9" s="264">
        <f t="shared" ref="K9" si="1">SUM(K5,K6,K7,K8,)</f>
        <v>0</v>
      </c>
    </row>
    <row r="10" spans="2:11" ht="15" thickBot="1" x14ac:dyDescent="0.35">
      <c r="B10" s="22"/>
      <c r="C10" s="14"/>
      <c r="D10" s="14"/>
      <c r="E10" s="14"/>
      <c r="F10" s="14"/>
      <c r="G10" s="317"/>
      <c r="H10" s="14"/>
      <c r="I10" s="317"/>
      <c r="J10" s="14"/>
      <c r="K10" s="23"/>
    </row>
    <row r="11" spans="2:11" ht="26.4" thickBot="1" x14ac:dyDescent="0.55000000000000004">
      <c r="B11" s="251" t="s">
        <v>54</v>
      </c>
      <c r="C11" s="251" t="s">
        <v>55</v>
      </c>
      <c r="D11" s="265" t="s">
        <v>59</v>
      </c>
      <c r="E11" s="266" t="s">
        <v>58</v>
      </c>
      <c r="F11" s="249" t="s">
        <v>354</v>
      </c>
      <c r="G11" s="267" t="s">
        <v>276</v>
      </c>
      <c r="H11" s="251" t="s">
        <v>349</v>
      </c>
      <c r="I11" s="253" t="s">
        <v>277</v>
      </c>
      <c r="J11" s="254" t="s">
        <v>249</v>
      </c>
      <c r="K11" s="255" t="s">
        <v>250</v>
      </c>
    </row>
    <row r="12" spans="2:11" ht="18.600000000000001" thickBot="1" x14ac:dyDescent="0.4">
      <c r="B12" s="309" t="s">
        <v>3</v>
      </c>
      <c r="C12" s="278"/>
      <c r="D12" s="279"/>
      <c r="E12" s="312">
        <f>Tableau51011[[#This Row],[Quantités (T)]]*Tableau51011[[#This Row],[% MS]]</f>
        <v>0</v>
      </c>
      <c r="F12" s="467"/>
      <c r="G12" s="305">
        <f>Tableau51011[[#This Row],[VEM/kg de MS]]*Tableau51011[[#This Row],[ T de MS]]*1000</f>
        <v>0</v>
      </c>
      <c r="H12" s="286"/>
      <c r="I12" s="306">
        <f>Tableau51011[[#This Row],[g de DVE/kg de MS]]*Tableau51011[[#This Row],[ T de MS]]</f>
        <v>0</v>
      </c>
      <c r="J12" s="289"/>
      <c r="K12" s="316">
        <f>$C12*$J12</f>
        <v>0</v>
      </c>
    </row>
    <row r="13" spans="2:11" ht="18.600000000000001" thickBot="1" x14ac:dyDescent="0.4">
      <c r="B13" s="310" t="s">
        <v>133</v>
      </c>
      <c r="C13" s="281"/>
      <c r="D13" s="292"/>
      <c r="E13" s="312">
        <f>Tableau51011[[#This Row],[Quantités (T)]]*Tableau51011[[#This Row],[% MS]]</f>
        <v>0</v>
      </c>
      <c r="F13" s="468"/>
      <c r="G13" s="305">
        <f>Tableau51011[[#This Row],[VEM/kg de MS]]*Tableau51011[[#This Row],[ T de MS]]*1000</f>
        <v>0</v>
      </c>
      <c r="H13" s="287"/>
      <c r="I13" s="307">
        <f>Tableau51011[[#This Row],[g de DVE/kg de MS]]*Tableau51011[[#This Row],[ T de MS]]</f>
        <v>0</v>
      </c>
      <c r="J13" s="290"/>
      <c r="K13" s="316">
        <f>$C13*$J13</f>
        <v>0</v>
      </c>
    </row>
    <row r="14" spans="2:11" ht="18.600000000000001" thickBot="1" x14ac:dyDescent="0.4">
      <c r="B14" s="311" t="s">
        <v>134</v>
      </c>
      <c r="C14" s="284"/>
      <c r="D14" s="285"/>
      <c r="E14" s="312">
        <f>Tableau51011[[#This Row],[Quantités (T)]]*Tableau51011[[#This Row],[% MS]]</f>
        <v>0</v>
      </c>
      <c r="F14" s="469"/>
      <c r="G14" s="305">
        <f>Tableau51011[[#This Row],[VEM/kg de MS]]*Tableau51011[[#This Row],[ T de MS]]*1000</f>
        <v>0</v>
      </c>
      <c r="H14" s="288"/>
      <c r="I14" s="308">
        <f>Tableau51011[[#This Row],[g de DVE/kg de MS]]*Tableau51011[[#This Row],[ T de MS]]</f>
        <v>0</v>
      </c>
      <c r="J14" s="291"/>
      <c r="K14" s="316">
        <f>$C14*$J14</f>
        <v>0</v>
      </c>
    </row>
    <row r="15" spans="2:11" ht="26.4" thickBot="1" x14ac:dyDescent="0.55000000000000004">
      <c r="B15" s="256" t="s">
        <v>5</v>
      </c>
      <c r="C15" s="257">
        <f t="shared" ref="C15" si="2">SUM(C12:C14)</f>
        <v>0</v>
      </c>
      <c r="D15" s="257"/>
      <c r="E15" s="258">
        <f>SUM(E12:E14)</f>
        <v>0</v>
      </c>
      <c r="F15" s="470"/>
      <c r="G15" s="260">
        <f>SUM(G12:G14)</f>
        <v>0</v>
      </c>
      <c r="H15" s="268"/>
      <c r="I15" s="262">
        <f>SUM(I12:I14)</f>
        <v>0</v>
      </c>
      <c r="J15" s="269"/>
      <c r="K15" s="264">
        <f t="shared" ref="K15" si="3">SUM(K12,K13,K14)</f>
        <v>0</v>
      </c>
    </row>
    <row r="16" spans="2:11" ht="15" thickBot="1" x14ac:dyDescent="0.35">
      <c r="B16" s="22"/>
      <c r="C16" s="14"/>
      <c r="D16" s="14"/>
      <c r="E16" s="14"/>
      <c r="F16" s="14"/>
      <c r="G16" s="317"/>
      <c r="H16" s="14"/>
      <c r="I16" s="317"/>
      <c r="J16" s="14"/>
      <c r="K16" s="23"/>
    </row>
    <row r="17" spans="2:11" ht="26.4" thickBot="1" x14ac:dyDescent="0.55000000000000004">
      <c r="B17" s="270" t="s">
        <v>4</v>
      </c>
      <c r="C17" s="249" t="s">
        <v>55</v>
      </c>
      <c r="D17" s="249" t="s">
        <v>59</v>
      </c>
      <c r="E17" s="250" t="s">
        <v>58</v>
      </c>
      <c r="F17" s="251" t="s">
        <v>354</v>
      </c>
      <c r="G17" s="252" t="s">
        <v>276</v>
      </c>
      <c r="H17" s="251" t="s">
        <v>349</v>
      </c>
      <c r="I17" s="253" t="s">
        <v>277</v>
      </c>
      <c r="J17" s="254" t="s">
        <v>249</v>
      </c>
      <c r="K17" s="255" t="s">
        <v>250</v>
      </c>
    </row>
    <row r="18" spans="2:11" ht="18.600000000000001" thickBot="1" x14ac:dyDescent="0.4">
      <c r="B18" s="277"/>
      <c r="C18" s="278"/>
      <c r="D18" s="279"/>
      <c r="E18" s="304">
        <f>Tableau5101112[[#This Row],[Quantités (T)]]*Tableau5101112[[#This Row],[% MS]]</f>
        <v>0</v>
      </c>
      <c r="F18" s="467"/>
      <c r="G18" s="305">
        <f>Tableau5101112[[#This Row],[ T de MS]]*Tableau5101112[[#This Row],[VEM/kg de MS]]*1000</f>
        <v>0</v>
      </c>
      <c r="H18" s="286"/>
      <c r="I18" s="306">
        <f>Tableau5101112[[#This Row],[ T de MS]]*Tableau5101112[[#This Row],[g de DVE/kg de MS]]</f>
        <v>0</v>
      </c>
      <c r="J18" s="289"/>
      <c r="K18" s="316">
        <f>$C18*$J18</f>
        <v>0</v>
      </c>
    </row>
    <row r="19" spans="2:11" ht="18.600000000000001" thickBot="1" x14ac:dyDescent="0.4">
      <c r="B19" s="280"/>
      <c r="C19" s="281"/>
      <c r="D19" s="282"/>
      <c r="E19" s="304">
        <f>Tableau5101112[[#This Row],[Quantités (T)]]*Tableau5101112[[#This Row],[% MS]]</f>
        <v>0</v>
      </c>
      <c r="F19" s="468"/>
      <c r="G19" s="305">
        <f>Tableau5101112[[#This Row],[ T de MS]]*Tableau5101112[[#This Row],[VEM/kg de MS]]*1000</f>
        <v>0</v>
      </c>
      <c r="H19" s="287"/>
      <c r="I19" s="307">
        <f>Tableau5101112[[#This Row],[ T de MS]]*Tableau5101112[[#This Row],[g de DVE/kg de MS]]</f>
        <v>0</v>
      </c>
      <c r="J19" s="290"/>
      <c r="K19" s="316">
        <f>$C19*$J19</f>
        <v>0</v>
      </c>
    </row>
    <row r="20" spans="2:11" ht="18.600000000000001" thickBot="1" x14ac:dyDescent="0.4">
      <c r="B20" s="280"/>
      <c r="C20" s="281"/>
      <c r="D20" s="282"/>
      <c r="E20" s="304">
        <f>Tableau5101112[[#This Row],[Quantités (T)]]*Tableau5101112[[#This Row],[% MS]]</f>
        <v>0</v>
      </c>
      <c r="F20" s="468"/>
      <c r="G20" s="305">
        <f>Tableau5101112[[#This Row],[ T de MS]]*Tableau5101112[[#This Row],[VEM/kg de MS]]*1000</f>
        <v>0</v>
      </c>
      <c r="H20" s="287"/>
      <c r="I20" s="307">
        <f>Tableau5101112[[#This Row],[ T de MS]]*Tableau5101112[[#This Row],[g de DVE/kg de MS]]</f>
        <v>0</v>
      </c>
      <c r="J20" s="290"/>
      <c r="K20" s="316">
        <f>$C20*$J20</f>
        <v>0</v>
      </c>
    </row>
    <row r="21" spans="2:11" ht="18.600000000000001" thickBot="1" x14ac:dyDescent="0.4">
      <c r="B21" s="283"/>
      <c r="C21" s="284"/>
      <c r="D21" s="285"/>
      <c r="E21" s="304">
        <f>Tableau5101112[[#This Row],[Quantités (T)]]*Tableau5101112[[#This Row],[% MS]]</f>
        <v>0</v>
      </c>
      <c r="F21" s="469"/>
      <c r="G21" s="305">
        <f>Tableau5101112[[#This Row],[ T de MS]]*Tableau5101112[[#This Row],[VEM/kg de MS]]*1000</f>
        <v>0</v>
      </c>
      <c r="H21" s="288"/>
      <c r="I21" s="308">
        <f>Tableau5101112[[#This Row],[ T de MS]]*Tableau5101112[[#This Row],[g de DVE/kg de MS]]</f>
        <v>0</v>
      </c>
      <c r="J21" s="291"/>
      <c r="K21" s="316">
        <f>$C21*$J21</f>
        <v>0</v>
      </c>
    </row>
    <row r="22" spans="2:11" ht="26.4" thickBot="1" x14ac:dyDescent="0.55000000000000004">
      <c r="B22" s="256" t="s">
        <v>5</v>
      </c>
      <c r="C22" s="257">
        <f>SUM(C18:C21)</f>
        <v>0</v>
      </c>
      <c r="D22" s="257"/>
      <c r="E22" s="258">
        <f>SUM(E18:E21)</f>
        <v>0</v>
      </c>
      <c r="F22" s="470"/>
      <c r="G22" s="260">
        <f t="shared" ref="G22" si="4">SUM(G18:G21)</f>
        <v>0</v>
      </c>
      <c r="H22" s="268"/>
      <c r="I22" s="262">
        <f>SUM(I18:I21)</f>
        <v>0</v>
      </c>
      <c r="J22" s="269"/>
      <c r="K22" s="264">
        <f t="shared" ref="K22" si="5">SUM(K18:K21)</f>
        <v>0</v>
      </c>
    </row>
    <row r="23" spans="2:11" ht="15" thickBot="1" x14ac:dyDescent="0.35">
      <c r="B23" s="22"/>
      <c r="C23" s="14"/>
      <c r="D23" s="14"/>
      <c r="E23" s="14"/>
      <c r="F23" s="14"/>
      <c r="G23" s="317"/>
      <c r="H23" s="14"/>
      <c r="I23" s="317"/>
      <c r="J23" s="14"/>
      <c r="K23" s="23"/>
    </row>
    <row r="24" spans="2:11" ht="26.4" thickBot="1" x14ac:dyDescent="0.55000000000000004">
      <c r="B24" s="270" t="s">
        <v>120</v>
      </c>
      <c r="C24" s="270" t="s">
        <v>55</v>
      </c>
      <c r="D24" s="249" t="s">
        <v>59</v>
      </c>
      <c r="E24" s="251" t="s">
        <v>58</v>
      </c>
      <c r="F24" s="251" t="s">
        <v>354</v>
      </c>
      <c r="G24" s="252" t="s">
        <v>276</v>
      </c>
      <c r="H24" s="251" t="s">
        <v>349</v>
      </c>
      <c r="I24" s="253" t="s">
        <v>277</v>
      </c>
      <c r="J24" s="254" t="s">
        <v>249</v>
      </c>
      <c r="K24" s="255" t="s">
        <v>250</v>
      </c>
    </row>
    <row r="25" spans="2:11" ht="18.600000000000001" thickBot="1" x14ac:dyDescent="0.4">
      <c r="B25" s="318"/>
      <c r="C25" s="293"/>
      <c r="D25" s="279"/>
      <c r="E25" s="313">
        <f>Tableau5101113[[#This Row],[Quantités (T)]]*Tableau5101113[[#This Row],[% MS]]</f>
        <v>0</v>
      </c>
      <c r="F25" s="471"/>
      <c r="G25" s="305">
        <f>Tableau5101113[[#This Row],[VEM/kg de MS]]*Tableau5101113[[#This Row],[ T de MS]]*1000</f>
        <v>0</v>
      </c>
      <c r="H25" s="297"/>
      <c r="I25" s="306">
        <f>Tableau5101113[[#This Row],[g de DVE/kg de MS]]*Tableau5101113[[#This Row],[ T de MS]]</f>
        <v>0</v>
      </c>
      <c r="J25" s="299"/>
      <c r="K25" s="316">
        <f>$C25*$J25</f>
        <v>0</v>
      </c>
    </row>
    <row r="26" spans="2:11" ht="18.600000000000001" thickBot="1" x14ac:dyDescent="0.4">
      <c r="B26" s="319"/>
      <c r="C26" s="294"/>
      <c r="D26" s="295"/>
      <c r="E26" s="304">
        <f>Tableau5101113[[#This Row],[Quantités (T)]]*Tableau5101113[[#This Row],[% MS]]</f>
        <v>0</v>
      </c>
      <c r="F26" s="468"/>
      <c r="G26" s="305">
        <f>Tableau5101113[[#This Row],[VEM/kg de MS]]*Tableau5101113[[#This Row],[ T de MS]]*1000</f>
        <v>0</v>
      </c>
      <c r="H26" s="287"/>
      <c r="I26" s="307">
        <f>Tableau5101113[[#This Row],[g de DVE/kg de MS]]*Tableau5101113[[#This Row],[ T de MS]]</f>
        <v>0</v>
      </c>
      <c r="J26" s="290"/>
      <c r="K26" s="316">
        <f>$C26*$J26</f>
        <v>0</v>
      </c>
    </row>
    <row r="27" spans="2:11" ht="18.600000000000001" thickBot="1" x14ac:dyDescent="0.4">
      <c r="B27" s="319"/>
      <c r="C27" s="294"/>
      <c r="D27" s="295"/>
      <c r="E27" s="304">
        <f>Tableau5101113[[#This Row],[Quantités (T)]]*Tableau5101113[[#This Row],[% MS]]</f>
        <v>0</v>
      </c>
      <c r="F27" s="468"/>
      <c r="G27" s="305">
        <f>Tableau5101113[[#This Row],[VEM/kg de MS]]*Tableau5101113[[#This Row],[ T de MS]]*1000</f>
        <v>0</v>
      </c>
      <c r="H27" s="287"/>
      <c r="I27" s="307">
        <f>Tableau5101113[[#This Row],[g de DVE/kg de MS]]*Tableau5101113[[#This Row],[ T de MS]]</f>
        <v>0</v>
      </c>
      <c r="J27" s="290"/>
      <c r="K27" s="316">
        <f>$C27*$J27</f>
        <v>0</v>
      </c>
    </row>
    <row r="28" spans="2:11" ht="18.600000000000001" thickBot="1" x14ac:dyDescent="0.4">
      <c r="B28" s="320"/>
      <c r="C28" s="294"/>
      <c r="D28" s="282"/>
      <c r="E28" s="304">
        <f>Tableau5101113[[#This Row],[Quantités (T)]]*Tableau5101113[[#This Row],[% MS]]</f>
        <v>0</v>
      </c>
      <c r="F28" s="468"/>
      <c r="G28" s="305">
        <f>Tableau5101113[[#This Row],[VEM/kg de MS]]*Tableau5101113[[#This Row],[ T de MS]]*1000</f>
        <v>0</v>
      </c>
      <c r="H28" s="287"/>
      <c r="I28" s="307">
        <f>Tableau5101113[[#This Row],[g de DVE/kg de MS]]*Tableau5101113[[#This Row],[ T de MS]]</f>
        <v>0</v>
      </c>
      <c r="J28" s="290"/>
      <c r="K28" s="316">
        <f>$C28*$J28</f>
        <v>0</v>
      </c>
    </row>
    <row r="29" spans="2:11" ht="18.600000000000001" thickBot="1" x14ac:dyDescent="0.4">
      <c r="B29" s="321"/>
      <c r="C29" s="296"/>
      <c r="D29" s="285"/>
      <c r="E29" s="314">
        <f>Tableau5101113[[#This Row],[Quantités (T)]]*Tableau5101113[[#This Row],[% MS]]</f>
        <v>0</v>
      </c>
      <c r="F29" s="472"/>
      <c r="G29" s="305">
        <f>Tableau5101113[[#This Row],[VEM/kg de MS]]*Tableau5101113[[#This Row],[ T de MS]]*1000</f>
        <v>0</v>
      </c>
      <c r="H29" s="298"/>
      <c r="I29" s="315">
        <f>Tableau5101113[[#This Row],[g de DVE/kg de MS]]*Tableau5101113[[#This Row],[ T de MS]]</f>
        <v>0</v>
      </c>
      <c r="J29" s="300"/>
      <c r="K29" s="316">
        <f>$C29*$J29</f>
        <v>0</v>
      </c>
    </row>
    <row r="30" spans="2:11" ht="26.4" thickBot="1" x14ac:dyDescent="0.55000000000000004">
      <c r="B30" s="256" t="s">
        <v>5</v>
      </c>
      <c r="C30" s="257">
        <f t="shared" ref="C30" si="6">SUM(C25:C29)</f>
        <v>0</v>
      </c>
      <c r="D30" s="257"/>
      <c r="E30" s="258">
        <f>SUM(E25:E29)</f>
        <v>0</v>
      </c>
      <c r="F30" s="470"/>
      <c r="G30" s="260">
        <f t="shared" ref="G30:I30" si="7">SUM(G25:G29)</f>
        <v>0</v>
      </c>
      <c r="H30" s="259"/>
      <c r="I30" s="262">
        <f t="shared" si="7"/>
        <v>0</v>
      </c>
      <c r="J30" s="269"/>
      <c r="K30" s="264">
        <f t="shared" ref="K30" si="8">SUM(K25:K29)</f>
        <v>0</v>
      </c>
    </row>
    <row r="31" spans="2:11" ht="15" thickBot="1" x14ac:dyDescent="0.35">
      <c r="B31" s="22"/>
      <c r="C31" s="14"/>
      <c r="D31" s="14"/>
      <c r="E31" s="14"/>
      <c r="F31" s="14"/>
      <c r="G31" s="317"/>
      <c r="H31" s="14"/>
      <c r="I31" s="317"/>
      <c r="J31" s="14"/>
      <c r="K31" s="23"/>
    </row>
    <row r="32" spans="2:11" ht="26.4" thickBot="1" x14ac:dyDescent="0.35">
      <c r="B32" s="375" t="s">
        <v>135</v>
      </c>
      <c r="C32" s="271" t="s">
        <v>55</v>
      </c>
      <c r="D32" s="271" t="s">
        <v>59</v>
      </c>
      <c r="E32" s="272" t="s">
        <v>58</v>
      </c>
      <c r="F32" s="272" t="s">
        <v>354</v>
      </c>
      <c r="G32" s="273" t="s">
        <v>276</v>
      </c>
      <c r="H32" s="272" t="s">
        <v>349</v>
      </c>
      <c r="I32" s="274" t="s">
        <v>277</v>
      </c>
      <c r="J32" s="275" t="s">
        <v>249</v>
      </c>
      <c r="K32" s="276" t="s">
        <v>250</v>
      </c>
    </row>
    <row r="33" spans="2:11" ht="18.600000000000001" thickBot="1" x14ac:dyDescent="0.4">
      <c r="B33" s="301"/>
      <c r="C33" s="278"/>
      <c r="D33" s="279"/>
      <c r="E33" s="313">
        <f>Tableau510111314[[#This Row],[Quantités (T)]]*Tableau510111314[[#This Row],[% MS]]</f>
        <v>0</v>
      </c>
      <c r="F33" s="467"/>
      <c r="G33" s="305">
        <f>Tableau510111314[[#This Row],[VEM/kg de MS]]*Tableau510111314[[#This Row],[ T de MS]]*1000</f>
        <v>0</v>
      </c>
      <c r="H33" s="286"/>
      <c r="I33" s="306">
        <f>Tableau510111314[[#This Row],[g de DVE/kg de MS]]*Tableau510111314[[#This Row],[ T de MS]]</f>
        <v>0</v>
      </c>
      <c r="J33" s="289"/>
      <c r="K33" s="316">
        <f>$C33*$J33</f>
        <v>0</v>
      </c>
    </row>
    <row r="34" spans="2:11" ht="18.600000000000001" thickBot="1" x14ac:dyDescent="0.4">
      <c r="B34" s="302"/>
      <c r="C34" s="281"/>
      <c r="D34" s="282"/>
      <c r="E34" s="304">
        <f>Tableau510111314[[#This Row],[Quantités (T)]]*Tableau510111314[[#This Row],[% MS]]</f>
        <v>0</v>
      </c>
      <c r="F34" s="468"/>
      <c r="G34" s="305">
        <f>Tableau510111314[[#This Row],[VEM/kg de MS]]*Tableau510111314[[#This Row],[ T de MS]]*1000</f>
        <v>0</v>
      </c>
      <c r="H34" s="287"/>
      <c r="I34" s="307">
        <f>Tableau510111314[[#This Row],[g de DVE/kg de MS]]*Tableau510111314[[#This Row],[ T de MS]]</f>
        <v>0</v>
      </c>
      <c r="J34" s="290"/>
      <c r="K34" s="316">
        <f>$C34*$J34</f>
        <v>0</v>
      </c>
    </row>
    <row r="35" spans="2:11" ht="18.600000000000001" thickBot="1" x14ac:dyDescent="0.4">
      <c r="B35" s="303"/>
      <c r="C35" s="284"/>
      <c r="D35" s="285"/>
      <c r="E35" s="314">
        <f>Tableau510111314[[#This Row],[Quantités (T)]]*Tableau510111314[[#This Row],[% MS]]</f>
        <v>0</v>
      </c>
      <c r="F35" s="469"/>
      <c r="G35" s="305">
        <f>Tableau510111314[[#This Row],[VEM/kg de MS]]*Tableau510111314[[#This Row],[ T de MS]]*1000</f>
        <v>0</v>
      </c>
      <c r="H35" s="288"/>
      <c r="I35" s="308">
        <f>Tableau510111314[[#This Row],[g de DVE/kg de MS]]*Tableau510111314[[#This Row],[ T de MS]]</f>
        <v>0</v>
      </c>
      <c r="J35" s="291"/>
      <c r="K35" s="316">
        <f>$C35*$J35</f>
        <v>0</v>
      </c>
    </row>
    <row r="36" spans="2:11" ht="26.4" thickBot="1" x14ac:dyDescent="0.55000000000000004">
      <c r="B36" s="256" t="s">
        <v>5</v>
      </c>
      <c r="C36" s="257">
        <f t="shared" ref="C36" si="9">SUM(C33:C35)</f>
        <v>0</v>
      </c>
      <c r="D36" s="257"/>
      <c r="E36" s="258">
        <f>SUM(E33:E35)</f>
        <v>0</v>
      </c>
      <c r="F36" s="470"/>
      <c r="G36" s="260">
        <f t="shared" ref="G36" si="10">SUM(G33:G35)</f>
        <v>0</v>
      </c>
      <c r="H36" s="268"/>
      <c r="I36" s="262">
        <f t="shared" ref="I36" si="11">SUM(I33:I35)</f>
        <v>0</v>
      </c>
      <c r="J36" s="269"/>
      <c r="K36" s="264">
        <f t="shared" ref="K36" si="12">SUM(K33:K35)</f>
        <v>0</v>
      </c>
    </row>
    <row r="37" spans="2:11" ht="15" thickBot="1" x14ac:dyDescent="0.35"/>
    <row r="38" spans="2:11" ht="26.4" thickBot="1" x14ac:dyDescent="0.35">
      <c r="B38" s="534" t="s">
        <v>309</v>
      </c>
      <c r="C38" s="567"/>
      <c r="D38" s="567"/>
      <c r="E38" s="567"/>
      <c r="F38" s="567"/>
      <c r="G38" s="568"/>
    </row>
    <row r="39" spans="2:11" ht="21.6" thickBot="1" x14ac:dyDescent="0.45">
      <c r="B39" s="341" t="s">
        <v>52</v>
      </c>
      <c r="C39" s="188" t="s">
        <v>55</v>
      </c>
      <c r="D39" s="159" t="s">
        <v>58</v>
      </c>
      <c r="E39" s="159" t="s">
        <v>276</v>
      </c>
      <c r="F39" s="159" t="s">
        <v>277</v>
      </c>
      <c r="G39" s="189" t="s">
        <v>250</v>
      </c>
    </row>
    <row r="40" spans="2:11" ht="18" x14ac:dyDescent="0.35">
      <c r="B40" s="220" t="s">
        <v>53</v>
      </c>
      <c r="C40" s="322">
        <f>'⑩ Achats'!C9</f>
        <v>0</v>
      </c>
      <c r="D40" s="313">
        <f>'⑩ Achats'!E9</f>
        <v>0</v>
      </c>
      <c r="E40" s="323">
        <f>'⑩ Achats'!G9</f>
        <v>0</v>
      </c>
      <c r="F40" s="324">
        <f>'⑩ Achats'!I9</f>
        <v>0</v>
      </c>
      <c r="G40" s="325">
        <f>'⑩ Achats'!K9</f>
        <v>0</v>
      </c>
    </row>
    <row r="41" spans="2:11" ht="18" x14ac:dyDescent="0.35">
      <c r="B41" s="216" t="s">
        <v>54</v>
      </c>
      <c r="C41" s="326">
        <f>'⑩ Achats'!C15</f>
        <v>0</v>
      </c>
      <c r="D41" s="304">
        <f>'⑩ Achats'!E15</f>
        <v>0</v>
      </c>
      <c r="E41" s="327">
        <f>'⑩ Achats'!G15</f>
        <v>0</v>
      </c>
      <c r="F41" s="328">
        <f>'⑩ Achats'!I15</f>
        <v>0</v>
      </c>
      <c r="G41" s="329">
        <f>'⑩ Achats'!K15</f>
        <v>0</v>
      </c>
    </row>
    <row r="42" spans="2:11" ht="18" x14ac:dyDescent="0.35">
      <c r="B42" s="216" t="s">
        <v>4</v>
      </c>
      <c r="C42" s="326">
        <f>'⑩ Achats'!C22</f>
        <v>0</v>
      </c>
      <c r="D42" s="304">
        <f>'⑩ Achats'!E22</f>
        <v>0</v>
      </c>
      <c r="E42" s="327">
        <f>'⑩ Achats'!G22</f>
        <v>0</v>
      </c>
      <c r="F42" s="328">
        <f>'⑩ Achats'!I22</f>
        <v>0</v>
      </c>
      <c r="G42" s="329">
        <f>'⑩ Achats'!K22</f>
        <v>0</v>
      </c>
    </row>
    <row r="43" spans="2:11" ht="18" x14ac:dyDescent="0.35">
      <c r="B43" s="216" t="s">
        <v>120</v>
      </c>
      <c r="C43" s="326">
        <f>'⑩ Achats'!C30</f>
        <v>0</v>
      </c>
      <c r="D43" s="304">
        <f>'⑩ Achats'!E30</f>
        <v>0</v>
      </c>
      <c r="E43" s="327">
        <f>'⑩ Achats'!G30</f>
        <v>0</v>
      </c>
      <c r="F43" s="328">
        <f>'⑩ Achats'!I30</f>
        <v>0</v>
      </c>
      <c r="G43" s="329">
        <f>'⑩ Achats'!K30</f>
        <v>0</v>
      </c>
    </row>
    <row r="44" spans="2:11" ht="18.600000000000001" thickBot="1" x14ac:dyDescent="0.4">
      <c r="B44" s="374" t="s">
        <v>135</v>
      </c>
      <c r="C44" s="330">
        <f>'⑩ Achats'!C36</f>
        <v>0</v>
      </c>
      <c r="D44" s="331">
        <f>'⑩ Achats'!E36</f>
        <v>0</v>
      </c>
      <c r="E44" s="332">
        <f>'⑩ Achats'!G36</f>
        <v>0</v>
      </c>
      <c r="F44" s="333">
        <f>'⑩ Achats'!I36</f>
        <v>0</v>
      </c>
      <c r="G44" s="334">
        <f>'⑩ Achats'!K36</f>
        <v>0</v>
      </c>
    </row>
    <row r="45" spans="2:11" ht="21" x14ac:dyDescent="0.4">
      <c r="B45" s="335" t="s">
        <v>5</v>
      </c>
      <c r="C45" s="336">
        <f>SUM(C40:C44)</f>
        <v>0</v>
      </c>
      <c r="D45" s="337">
        <f>SUM(D40:D44)</f>
        <v>0</v>
      </c>
      <c r="E45" s="338">
        <f>SUM(E40:E44)</f>
        <v>0</v>
      </c>
      <c r="F45" s="339">
        <f>SUM(F40:F44)</f>
        <v>0</v>
      </c>
      <c r="G45" s="340">
        <f>SUM(G40:G44)</f>
        <v>0</v>
      </c>
    </row>
    <row r="46" spans="2:11" ht="15" thickBot="1" x14ac:dyDescent="0.35"/>
    <row r="47" spans="2:11" ht="21" x14ac:dyDescent="0.4">
      <c r="F47" s="380" t="s">
        <v>56</v>
      </c>
      <c r="G47" s="376">
        <f>'⑩ Achats'!G45</f>
        <v>0</v>
      </c>
    </row>
    <row r="48" spans="2:11" ht="21" x14ac:dyDescent="0.4">
      <c r="F48" s="381" t="s">
        <v>110</v>
      </c>
      <c r="G48" s="377">
        <f>'⑩ Achats'!D45</f>
        <v>0</v>
      </c>
    </row>
    <row r="49" spans="6:7" ht="21" x14ac:dyDescent="0.4">
      <c r="F49" s="382" t="s">
        <v>278</v>
      </c>
      <c r="G49" s="378">
        <f>'⑩ Achats'!E45</f>
        <v>0</v>
      </c>
    </row>
    <row r="50" spans="6:7" ht="21.6" thickBot="1" x14ac:dyDescent="0.45">
      <c r="F50" s="383" t="s">
        <v>279</v>
      </c>
      <c r="G50" s="379">
        <f>'⑩ Achats'!F45</f>
        <v>0</v>
      </c>
    </row>
  </sheetData>
  <sheetProtection sheet="1" formatColumns="0" selectLockedCells="1"/>
  <mergeCells count="2">
    <mergeCell ref="B2:K2"/>
    <mergeCell ref="B38:G38"/>
  </mergeCells>
  <pageMargins left="0.7" right="0.7" top="0.75" bottom="0.75" header="0.3" footer="0.3"/>
  <pageSetup paperSize="9" orientation="portrait" r:id="rId1"/>
  <legacyDrawing r:id="rId2"/>
  <tableParts count="6">
    <tablePart r:id="rId3"/>
    <tablePart r:id="rId4"/>
    <tablePart r:id="rId5"/>
    <tablePart r:id="rId6"/>
    <tablePart r:id="rId7"/>
    <tablePart r:id="rId8"/>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tabColor rgb="FFB08600"/>
  </sheetPr>
  <dimension ref="A1:N20"/>
  <sheetViews>
    <sheetView showGridLines="0" zoomScale="90" zoomScaleNormal="90" workbookViewId="0">
      <selection activeCell="C10" sqref="C10"/>
    </sheetView>
  </sheetViews>
  <sheetFormatPr baseColWidth="10" defaultRowHeight="14.4" x14ac:dyDescent="0.3"/>
  <cols>
    <col min="1" max="1" width="5.33203125" customWidth="1"/>
    <col min="2" max="2" width="51.77734375" customWidth="1"/>
    <col min="3" max="3" width="17.21875" customWidth="1"/>
    <col min="4" max="4" width="16.77734375" customWidth="1"/>
    <col min="5" max="5" width="15.44140625" customWidth="1"/>
  </cols>
  <sheetData>
    <row r="1" spans="1:14" s="20" customFormat="1" ht="52.2" customHeight="1" thickBot="1" x14ac:dyDescent="0.35">
      <c r="A1" s="495"/>
      <c r="B1" s="495"/>
      <c r="C1" s="495"/>
      <c r="D1" s="495"/>
      <c r="E1" s="495"/>
      <c r="F1" s="495"/>
      <c r="G1" s="495"/>
      <c r="H1" s="495"/>
      <c r="I1" s="495"/>
      <c r="J1" s="495"/>
      <c r="K1" s="495"/>
      <c r="L1" s="495"/>
      <c r="M1" s="495"/>
    </row>
    <row r="2" spans="1:14" s="20" customFormat="1" ht="26.4" thickBot="1" x14ac:dyDescent="0.55000000000000004">
      <c r="A2" s="495"/>
      <c r="B2" s="572" t="s">
        <v>311</v>
      </c>
      <c r="C2" s="573"/>
      <c r="D2" s="495"/>
      <c r="E2" s="495"/>
      <c r="F2" s="495"/>
      <c r="G2" s="317"/>
      <c r="H2" s="317"/>
      <c r="I2" s="317"/>
      <c r="J2" s="317"/>
      <c r="K2" s="317"/>
      <c r="L2" s="317"/>
      <c r="M2" s="317"/>
    </row>
    <row r="3" spans="1:14" s="20" customFormat="1" ht="18" x14ac:dyDescent="0.35">
      <c r="A3" s="495"/>
      <c r="B3" s="496" t="s">
        <v>111</v>
      </c>
      <c r="C3" s="447">
        <f>'⑨ Coûts de production'!$C$21</f>
        <v>0</v>
      </c>
      <c r="D3" s="495"/>
      <c r="E3" s="495"/>
      <c r="F3" s="495"/>
      <c r="G3" s="317"/>
      <c r="H3" s="317"/>
      <c r="I3" s="317"/>
      <c r="J3" s="317"/>
      <c r="K3" s="317"/>
      <c r="L3" s="317"/>
      <c r="M3" s="317"/>
    </row>
    <row r="4" spans="1:14" s="20" customFormat="1" ht="18.600000000000001" thickBot="1" x14ac:dyDescent="0.4">
      <c r="A4" s="495"/>
      <c r="B4" s="497" t="s">
        <v>262</v>
      </c>
      <c r="C4" s="498">
        <f>'⑩ Achats'!$G$47</f>
        <v>0</v>
      </c>
      <c r="D4" s="495"/>
      <c r="E4" s="495"/>
      <c r="F4" s="495"/>
      <c r="G4" s="317"/>
      <c r="H4" s="317"/>
      <c r="I4" s="317"/>
      <c r="J4" s="317"/>
      <c r="K4" s="317"/>
      <c r="L4" s="317"/>
      <c r="M4" s="317"/>
    </row>
    <row r="5" spans="1:14" s="20" customFormat="1" ht="21.6" thickBot="1" x14ac:dyDescent="0.45">
      <c r="A5" s="495"/>
      <c r="B5" s="499" t="s">
        <v>112</v>
      </c>
      <c r="C5" s="500">
        <f>SUM(C3:C4)</f>
        <v>0</v>
      </c>
      <c r="D5" s="495"/>
      <c r="E5" s="495"/>
      <c r="F5" s="495"/>
      <c r="G5" s="317"/>
      <c r="H5" s="317"/>
      <c r="I5" s="317"/>
      <c r="J5" s="317"/>
      <c r="K5" s="317"/>
      <c r="L5" s="317"/>
      <c r="M5" s="317"/>
    </row>
    <row r="6" spans="1:14" s="20" customFormat="1" ht="15.6" customHeight="1" thickBot="1" x14ac:dyDescent="0.35">
      <c r="A6" s="495"/>
      <c r="B6" s="495"/>
      <c r="C6" s="495"/>
      <c r="D6" s="495"/>
      <c r="E6" s="495"/>
      <c r="F6" s="495"/>
      <c r="G6" s="317"/>
      <c r="H6" s="317"/>
      <c r="I6" s="317"/>
      <c r="J6" s="317"/>
      <c r="K6" s="317"/>
      <c r="L6" s="317"/>
      <c r="M6" s="317"/>
      <c r="N6"/>
    </row>
    <row r="7" spans="1:14" ht="26.4" thickBot="1" x14ac:dyDescent="0.55000000000000004">
      <c r="A7" s="495"/>
      <c r="B7" s="569" t="s">
        <v>310</v>
      </c>
      <c r="C7" s="570"/>
      <c r="D7" s="570"/>
      <c r="E7" s="571"/>
      <c r="F7" s="495"/>
      <c r="G7" s="317"/>
      <c r="H7" s="317"/>
      <c r="I7" s="317"/>
      <c r="J7" s="317"/>
      <c r="K7" s="317"/>
      <c r="L7" s="317"/>
      <c r="M7" s="317"/>
    </row>
    <row r="8" spans="1:14" ht="21" x14ac:dyDescent="0.4">
      <c r="A8" s="495"/>
      <c r="B8" s="501"/>
      <c r="C8" s="502" t="s">
        <v>5</v>
      </c>
      <c r="D8" s="502" t="s">
        <v>102</v>
      </c>
      <c r="E8" s="503" t="s">
        <v>103</v>
      </c>
      <c r="F8" s="495"/>
      <c r="G8" s="317"/>
      <c r="H8" s="317"/>
      <c r="I8" s="317"/>
      <c r="J8" s="317"/>
      <c r="K8" s="317"/>
      <c r="L8" s="317"/>
      <c r="M8" s="317"/>
    </row>
    <row r="9" spans="1:14" ht="18" x14ac:dyDescent="0.35">
      <c r="A9" s="495"/>
      <c r="B9" s="504" t="s">
        <v>99</v>
      </c>
      <c r="C9" s="156"/>
      <c r="D9" s="505" t="str">
        <f>IF('⑧ Taux de chargement'!E11=0,"",$C$9/'⑧ Taux de chargement'!E11)</f>
        <v/>
      </c>
      <c r="E9" s="506" t="str">
        <f>IF('⑨ Coûts de production'!C25&gt;'⑨ Coûts de production'!C26*0.2,"",IF('⑨ Coûts de production'!C23=0,"",$C9/'⑨ Coûts de production'!$C$23))</f>
        <v/>
      </c>
      <c r="F9" s="495"/>
      <c r="G9" s="317"/>
      <c r="H9" s="317"/>
      <c r="I9" s="317"/>
      <c r="J9" s="317"/>
      <c r="K9" s="317"/>
      <c r="L9" s="317"/>
      <c r="M9" s="317"/>
    </row>
    <row r="10" spans="1:14" s="12" customFormat="1" ht="36" x14ac:dyDescent="0.35">
      <c r="A10" s="507"/>
      <c r="B10" s="508" t="s">
        <v>346</v>
      </c>
      <c r="C10" s="439"/>
      <c r="D10" s="509" t="str">
        <f>IF('⑧ Taux de chargement'!E11=0,"",$C10/'⑧ Taux de chargement'!E11)</f>
        <v/>
      </c>
      <c r="E10" s="506" t="str">
        <f>IF('⑨ Coûts de production'!C25&gt;'⑨ Coûts de production'!C26*0.2,"",IF('⑨ Coûts de production'!C23=0,"",$C10/'⑨ Coûts de production'!$C$23))</f>
        <v/>
      </c>
      <c r="F10" s="507"/>
      <c r="G10" s="510"/>
      <c r="H10" s="510"/>
      <c r="I10" s="510"/>
      <c r="J10" s="510"/>
      <c r="K10" s="510"/>
      <c r="L10" s="510"/>
      <c r="M10" s="510"/>
    </row>
    <row r="11" spans="1:14" ht="36" x14ac:dyDescent="0.35">
      <c r="A11" s="495"/>
      <c r="B11" s="508" t="s">
        <v>345</v>
      </c>
      <c r="C11" s="505">
        <f>'⑨ Coûts de production'!C21</f>
        <v>0</v>
      </c>
      <c r="D11" s="509" t="str">
        <f>IF('⑧ Taux de chargement'!E11=0,"",$C11/'⑧ Taux de chargement'!E11)</f>
        <v/>
      </c>
      <c r="E11" s="506" t="str">
        <f>IF('⑨ Coûts de production'!C25&gt;'⑨ Coûts de production'!C26*0.2,"",IF('⑨ Coûts de production'!C23=0,"",$C11/'⑨ Coûts de production'!$C$23))</f>
        <v/>
      </c>
      <c r="F11" s="495"/>
      <c r="G11" s="317"/>
      <c r="H11" s="317"/>
      <c r="I11" s="317"/>
      <c r="J11" s="317"/>
      <c r="K11" s="317"/>
      <c r="L11" s="317"/>
      <c r="M11" s="317"/>
    </row>
    <row r="12" spans="1:14" ht="21" x14ac:dyDescent="0.4">
      <c r="A12" s="495"/>
      <c r="B12" s="511" t="s">
        <v>100</v>
      </c>
      <c r="C12" s="512">
        <f>$C$10+$C$11</f>
        <v>0</v>
      </c>
      <c r="D12" s="513" t="str">
        <f>IF('⑧ Taux de chargement'!E11=0,"",$C12/'⑧ Taux de chargement'!E11)</f>
        <v/>
      </c>
      <c r="E12" s="514" t="str">
        <f>IF('⑨ Coûts de production'!C25&gt;'⑨ Coûts de production'!C26*0.2,"",IF('⑨ Coûts de production'!C23=0,"",$C12/'⑨ Coûts de production'!$C$23))</f>
        <v/>
      </c>
      <c r="F12" s="495"/>
      <c r="G12" s="317"/>
      <c r="H12" s="317"/>
      <c r="I12" s="317"/>
      <c r="J12" s="317"/>
      <c r="K12" s="317"/>
      <c r="L12" s="317"/>
      <c r="M12" s="317"/>
    </row>
    <row r="13" spans="1:14" ht="21.6" thickBot="1" x14ac:dyDescent="0.45">
      <c r="A13" s="495"/>
      <c r="B13" s="515" t="s">
        <v>101</v>
      </c>
      <c r="C13" s="516">
        <f>$C$9-$C$12</f>
        <v>0</v>
      </c>
      <c r="D13" s="517" t="str">
        <f>IF('⑧ Taux de chargement'!E11=0,"",$C13/'⑧ Taux de chargement'!E11)</f>
        <v/>
      </c>
      <c r="E13" s="518" t="str">
        <f>IF('⑨ Coûts de production'!C25&gt;'⑨ Coûts de production'!C26*0.2,"",IF('⑨ Coûts de production'!C23=0,"",$C13/'⑨ Coûts de production'!$C$23))</f>
        <v/>
      </c>
      <c r="F13" s="495"/>
      <c r="G13" s="317"/>
      <c r="H13" s="317"/>
      <c r="I13" s="317"/>
      <c r="J13" s="317"/>
      <c r="K13" s="317"/>
      <c r="L13" s="317"/>
      <c r="M13" s="317"/>
    </row>
    <row r="14" spans="1:14" x14ac:dyDescent="0.3">
      <c r="A14" s="495"/>
      <c r="B14" s="495"/>
      <c r="C14" s="495"/>
      <c r="D14" s="495"/>
      <c r="E14" s="495"/>
      <c r="F14" s="495"/>
      <c r="G14" s="495"/>
      <c r="H14" s="495"/>
      <c r="I14" s="495"/>
      <c r="J14" s="495"/>
      <c r="K14" s="495"/>
      <c r="L14" s="495"/>
      <c r="M14" s="495"/>
    </row>
    <row r="15" spans="1:14" ht="18.600000000000001" thickBot="1" x14ac:dyDescent="0.4">
      <c r="A15" s="495"/>
      <c r="B15" s="495"/>
      <c r="C15" s="495"/>
      <c r="D15" s="495"/>
      <c r="E15" s="495"/>
      <c r="F15" s="495"/>
      <c r="G15" s="495"/>
      <c r="H15" s="495"/>
      <c r="I15" s="519"/>
      <c r="J15" s="495"/>
      <c r="K15" s="495"/>
      <c r="L15" s="495"/>
      <c r="M15" s="495"/>
    </row>
    <row r="16" spans="1:14" ht="26.4" thickBot="1" x14ac:dyDescent="0.55000000000000004">
      <c r="A16" s="495"/>
      <c r="B16" s="520" t="s">
        <v>117</v>
      </c>
      <c r="C16" s="521" t="str">
        <f>IF('⑪ Efficience économique'!C9=0,"",(('⑪ Efficience économique'!C9)-('⑪ Efficience économique'!C12))/('⑪ Efficience économique'!C9))</f>
        <v/>
      </c>
      <c r="D16" s="495"/>
      <c r="E16" s="495"/>
      <c r="F16" s="495"/>
      <c r="G16" s="495"/>
      <c r="H16" s="495"/>
      <c r="I16" s="495"/>
      <c r="J16" s="495"/>
      <c r="K16" s="495"/>
      <c r="L16" s="495"/>
      <c r="M16" s="495"/>
    </row>
    <row r="17" spans="1:13" x14ac:dyDescent="0.3">
      <c r="A17" s="495"/>
      <c r="B17" s="495"/>
      <c r="C17" s="495"/>
      <c r="D17" s="495"/>
      <c r="E17" s="495"/>
      <c r="F17" s="495"/>
      <c r="G17" s="495"/>
      <c r="H17" s="495"/>
      <c r="I17" s="495"/>
      <c r="J17" s="495"/>
      <c r="K17" s="495"/>
      <c r="L17" s="495"/>
      <c r="M17" s="495"/>
    </row>
    <row r="18" spans="1:13" x14ac:dyDescent="0.3">
      <c r="A18" s="495"/>
      <c r="B18" s="495"/>
      <c r="C18" s="495"/>
      <c r="D18" s="495"/>
      <c r="E18" s="495"/>
      <c r="F18" s="495"/>
      <c r="G18" s="495"/>
      <c r="H18" s="495"/>
      <c r="I18" s="495"/>
      <c r="J18" s="495"/>
      <c r="K18" s="495"/>
      <c r="L18" s="495"/>
      <c r="M18" s="495"/>
    </row>
    <row r="19" spans="1:13" x14ac:dyDescent="0.3">
      <c r="A19" s="495"/>
      <c r="B19" s="495"/>
      <c r="C19" s="495"/>
      <c r="D19" s="495"/>
      <c r="E19" s="495"/>
      <c r="F19" s="495"/>
      <c r="G19" s="495"/>
      <c r="H19" s="495"/>
      <c r="I19" s="495"/>
      <c r="J19" s="495"/>
      <c r="K19" s="495"/>
      <c r="L19" s="495"/>
      <c r="M19" s="495"/>
    </row>
    <row r="20" spans="1:13" x14ac:dyDescent="0.3">
      <c r="A20" s="495"/>
      <c r="B20" s="495"/>
      <c r="C20" s="495"/>
      <c r="D20" s="495"/>
      <c r="E20" s="495"/>
      <c r="F20" s="495"/>
      <c r="G20" s="495"/>
      <c r="H20" s="495"/>
      <c r="I20" s="495"/>
      <c r="J20" s="495"/>
      <c r="K20" s="495"/>
      <c r="L20" s="495"/>
      <c r="M20" s="495"/>
    </row>
  </sheetData>
  <sheetProtection sheet="1" objects="1" formatColumns="0" selectLockedCells="1"/>
  <mergeCells count="2">
    <mergeCell ref="B7:E7"/>
    <mergeCell ref="B2:C2"/>
  </mergeCells>
  <pageMargins left="0.7" right="0.7" top="0.75" bottom="0.75" header="0.3" footer="0.3"/>
  <pageSetup paperSize="9" orientation="portrait" verticalDpi="0"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5">
    <tabColor rgb="FFC00000"/>
  </sheetPr>
  <dimension ref="A1:H17"/>
  <sheetViews>
    <sheetView showGridLines="0" zoomScaleNormal="100" workbookViewId="0">
      <selection sqref="A1:G17"/>
    </sheetView>
  </sheetViews>
  <sheetFormatPr baseColWidth="10" defaultRowHeight="14.4" x14ac:dyDescent="0.3"/>
  <cols>
    <col min="1" max="1" width="30.109375" customWidth="1"/>
    <col min="2" max="2" width="51.109375" customWidth="1"/>
    <col min="3" max="3" width="20.77734375" customWidth="1"/>
    <col min="4" max="4" width="23.77734375" bestFit="1" customWidth="1"/>
    <col min="5" max="5" width="24.21875" bestFit="1" customWidth="1"/>
    <col min="7" max="7" width="38.44140625" customWidth="1"/>
    <col min="8" max="8" width="23" customWidth="1"/>
  </cols>
  <sheetData>
    <row r="1" spans="1:8" s="20" customFormat="1" ht="25.2" customHeight="1" thickBot="1" x14ac:dyDescent="0.35"/>
    <row r="2" spans="1:8" ht="26.4" thickBot="1" x14ac:dyDescent="0.35">
      <c r="A2" s="20"/>
      <c r="B2" s="534" t="s">
        <v>314</v>
      </c>
      <c r="C2" s="567"/>
      <c r="D2" s="567"/>
      <c r="E2" s="568"/>
      <c r="F2" s="20"/>
      <c r="G2" s="20"/>
      <c r="H2" s="20"/>
    </row>
    <row r="3" spans="1:8" ht="21" x14ac:dyDescent="0.3">
      <c r="A3" s="20"/>
      <c r="B3" s="368"/>
      <c r="C3" s="372" t="s">
        <v>107</v>
      </c>
      <c r="D3" s="372" t="s">
        <v>108</v>
      </c>
      <c r="E3" s="373" t="s">
        <v>109</v>
      </c>
      <c r="F3" s="20"/>
      <c r="G3" s="20"/>
    </row>
    <row r="4" spans="1:8" ht="21" x14ac:dyDescent="0.3">
      <c r="A4" s="20"/>
      <c r="B4" s="371" t="s">
        <v>351</v>
      </c>
      <c r="C4" s="106">
        <f>'② Récolte'!H104+'③ Pâturage'!H31+'④ Stock'!E11</f>
        <v>0</v>
      </c>
      <c r="D4" s="369">
        <f>'② Récolte'!J104+'③ Pâturage'!I31+'④ Stock'!G11</f>
        <v>0</v>
      </c>
      <c r="E4" s="370">
        <f>'② Récolte'!L104+'③ Pâturage'!J31+'④ Stock'!I11</f>
        <v>0</v>
      </c>
      <c r="F4" s="20"/>
      <c r="G4" s="20"/>
    </row>
    <row r="5" spans="1:8" ht="21" x14ac:dyDescent="0.3">
      <c r="A5" s="20"/>
      <c r="B5" s="371" t="s">
        <v>105</v>
      </c>
      <c r="C5" s="106">
        <f>('⑥ Troupeau laitier '!J17+'⑦ Troupeau viandeux'!F22+'⑦ Troupeau viandeux'!F43)/1000</f>
        <v>0</v>
      </c>
      <c r="D5" s="369">
        <f>('⑥ Troupeau laitier '!K17+'⑦ Troupeau viandeux'!G22+'⑦ Troupeau viandeux'!G43)</f>
        <v>0</v>
      </c>
      <c r="E5" s="370">
        <f>('⑥ Troupeau laitier '!L17+'⑦ Troupeau viandeux'!H22+'⑦ Troupeau viandeux'!H43)/1000</f>
        <v>0</v>
      </c>
      <c r="F5" s="20"/>
      <c r="G5" s="20"/>
    </row>
    <row r="6" spans="1:8" ht="21" x14ac:dyDescent="0.3">
      <c r="A6" s="20"/>
      <c r="B6" s="371" t="s">
        <v>106</v>
      </c>
      <c r="C6" s="106">
        <f>'⑩ Achats'!G48</f>
        <v>0</v>
      </c>
      <c r="D6" s="369">
        <f>'⑩ Achats'!G49</f>
        <v>0</v>
      </c>
      <c r="E6" s="370">
        <f>'⑩ Achats'!G50</f>
        <v>0</v>
      </c>
      <c r="F6" s="20"/>
      <c r="G6" s="20"/>
    </row>
    <row r="7" spans="1:8" s="5" customFormat="1" ht="42.6" thickBot="1" x14ac:dyDescent="0.35">
      <c r="A7" s="20"/>
      <c r="B7" s="397" t="s">
        <v>316</v>
      </c>
      <c r="C7" s="398" t="str">
        <f>IF($C$5-$C$4&lt;=0,"Aucun",$C$5-$C$4)</f>
        <v>Aucun</v>
      </c>
      <c r="D7" s="399" t="str">
        <f>IF($D$5-$D$4&lt;=0,"Aucun",$D$5-$D$4)</f>
        <v>Aucun</v>
      </c>
      <c r="E7" s="400" t="str">
        <f>IF($E$5-$E$4&lt;=0,"Aucun",$E$5-$E$4)</f>
        <v>Aucun</v>
      </c>
      <c r="F7" s="20"/>
      <c r="G7" s="20"/>
    </row>
    <row r="8" spans="1:8" s="20" customFormat="1" x14ac:dyDescent="0.3"/>
    <row r="9" spans="1:8" s="5" customFormat="1" ht="15.6" customHeight="1" thickBot="1" x14ac:dyDescent="0.45">
      <c r="A9" s="20"/>
      <c r="B9" s="18"/>
      <c r="C9" s="19"/>
      <c r="D9" s="20"/>
      <c r="E9" s="20"/>
      <c r="F9" s="20"/>
      <c r="G9" s="20"/>
    </row>
    <row r="10" spans="1:8" ht="26.4" thickBot="1" x14ac:dyDescent="0.55000000000000004">
      <c r="A10" s="20"/>
      <c r="B10" s="564" t="s">
        <v>315</v>
      </c>
      <c r="C10" s="565"/>
      <c r="D10" s="565"/>
      <c r="E10" s="566"/>
      <c r="F10" s="20"/>
      <c r="G10" s="20"/>
    </row>
    <row r="11" spans="1:8" ht="21.6" thickBot="1" x14ac:dyDescent="0.45">
      <c r="A11" s="20"/>
      <c r="B11" s="13"/>
      <c r="C11" s="395" t="s">
        <v>113</v>
      </c>
      <c r="D11" s="395" t="s">
        <v>251</v>
      </c>
      <c r="E11" s="396" t="s">
        <v>114</v>
      </c>
      <c r="F11" s="20"/>
      <c r="G11" s="20"/>
    </row>
    <row r="12" spans="1:8" ht="21" x14ac:dyDescent="0.4">
      <c r="A12" s="20"/>
      <c r="B12" s="393" t="s">
        <v>115</v>
      </c>
      <c r="C12" s="401" t="str">
        <f>IF($C$5=0,"",$C$4/$C$5)</f>
        <v/>
      </c>
      <c r="D12" s="401" t="str">
        <f>IF($D$5=0,"",$D$4/$D$5)</f>
        <v/>
      </c>
      <c r="E12" s="402" t="str">
        <f>IF($E$5=0,"",$E$4/$E$5)</f>
        <v/>
      </c>
      <c r="F12" s="20"/>
      <c r="G12" s="20"/>
    </row>
    <row r="13" spans="1:8" ht="21.6" thickBot="1" x14ac:dyDescent="0.45">
      <c r="A13" s="20"/>
      <c r="B13" s="394" t="s">
        <v>116</v>
      </c>
      <c r="C13" s="403" t="str">
        <f>IF(SUM($C$4,$C$6)=0,"",$C$4/SUM($C$4,$C$6))</f>
        <v/>
      </c>
      <c r="D13" s="403" t="str">
        <f>IF(SUM($D$4,$D$6)=0,"",$D$4/SUM($D$4,$D$6))</f>
        <v/>
      </c>
      <c r="E13" s="404" t="str">
        <f>IF(SUM($E$4,$E$6)=0,"",$E$4/SUM($E$4,$E$6))</f>
        <v/>
      </c>
      <c r="F13" s="20"/>
      <c r="G13" s="20"/>
    </row>
    <row r="14" spans="1:8" x14ac:dyDescent="0.3">
      <c r="A14" s="20"/>
      <c r="B14" s="20"/>
      <c r="C14" s="20"/>
      <c r="D14" s="20"/>
      <c r="E14" s="20"/>
      <c r="F14" s="20"/>
      <c r="G14" s="20"/>
    </row>
    <row r="15" spans="1:8" x14ac:dyDescent="0.3">
      <c r="A15" s="20"/>
      <c r="B15" s="20"/>
      <c r="C15" s="20"/>
      <c r="D15" s="20"/>
      <c r="E15" s="20"/>
      <c r="F15" s="20"/>
      <c r="G15" s="20"/>
    </row>
    <row r="16" spans="1:8" x14ac:dyDescent="0.3">
      <c r="A16" s="20"/>
      <c r="B16" s="20"/>
      <c r="C16" s="20"/>
      <c r="D16" s="20"/>
      <c r="E16" s="20"/>
      <c r="F16" s="20"/>
      <c r="G16" s="20"/>
    </row>
    <row r="17" spans="1:7" x14ac:dyDescent="0.3">
      <c r="A17" s="20"/>
      <c r="B17" s="20"/>
      <c r="C17" s="20"/>
      <c r="D17" s="20"/>
      <c r="E17" s="20"/>
      <c r="F17" s="20"/>
      <c r="G17" s="20"/>
    </row>
  </sheetData>
  <sheetProtection sheet="1" objects="1" formatColumns="0" selectLockedCells="1"/>
  <mergeCells count="2">
    <mergeCell ref="B10:E10"/>
    <mergeCell ref="B2:E2"/>
  </mergeCells>
  <pageMargins left="0.7" right="0.7" top="0.75" bottom="0.75" header="0.3" footer="0.3"/>
  <drawing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6">
    <tabColor theme="0" tint="-0.249977111117893"/>
  </sheetPr>
  <dimension ref="A1:K59"/>
  <sheetViews>
    <sheetView showGridLines="0" zoomScaleNormal="100" workbookViewId="0">
      <selection activeCell="B2" sqref="B2:K59"/>
    </sheetView>
  </sheetViews>
  <sheetFormatPr baseColWidth="10" defaultRowHeight="14.4" x14ac:dyDescent="0.3"/>
  <cols>
    <col min="1" max="1" width="1.33203125" style="20" customWidth="1"/>
    <col min="2" max="2" width="32" customWidth="1"/>
    <col min="6" max="6" width="28.77734375" customWidth="1"/>
    <col min="7" max="7" width="27.109375" customWidth="1"/>
  </cols>
  <sheetData>
    <row r="1" spans="1:11" s="20" customFormat="1" ht="6" customHeight="1" thickBot="1" x14ac:dyDescent="0.35"/>
    <row r="2" spans="1:11" ht="25.8" x14ac:dyDescent="0.5">
      <c r="B2" s="564" t="s">
        <v>317</v>
      </c>
      <c r="C2" s="565"/>
      <c r="D2" s="565"/>
      <c r="E2" s="565"/>
      <c r="F2" s="565"/>
      <c r="G2" s="565"/>
      <c r="H2" s="565"/>
      <c r="I2" s="565"/>
      <c r="J2" s="565"/>
      <c r="K2" s="566"/>
    </row>
    <row r="3" spans="1:11" ht="18" x14ac:dyDescent="0.35">
      <c r="B3" s="421" t="s">
        <v>157</v>
      </c>
      <c r="C3" s="405" t="s">
        <v>323</v>
      </c>
      <c r="D3" s="406" t="s">
        <v>108</v>
      </c>
      <c r="E3" s="406" t="s">
        <v>158</v>
      </c>
      <c r="F3" s="406" t="s">
        <v>159</v>
      </c>
      <c r="G3" s="407" t="s">
        <v>318</v>
      </c>
      <c r="H3" s="406" t="s">
        <v>319</v>
      </c>
      <c r="I3" s="406" t="s">
        <v>320</v>
      </c>
      <c r="J3" s="406" t="s">
        <v>321</v>
      </c>
      <c r="K3" s="422" t="s">
        <v>322</v>
      </c>
    </row>
    <row r="4" spans="1:11" s="5" customFormat="1" ht="15.6" x14ac:dyDescent="0.3">
      <c r="A4" s="20"/>
      <c r="B4" s="423" t="s">
        <v>163</v>
      </c>
      <c r="C4" s="414"/>
      <c r="D4" s="413"/>
      <c r="E4" s="413"/>
      <c r="F4" s="392"/>
      <c r="G4" s="420" t="s">
        <v>198</v>
      </c>
      <c r="H4" s="414"/>
      <c r="I4" s="413"/>
      <c r="J4" s="413"/>
      <c r="K4" s="424"/>
    </row>
    <row r="5" spans="1:11" ht="15.6" x14ac:dyDescent="0.3">
      <c r="B5" s="425" t="s">
        <v>160</v>
      </c>
      <c r="C5" s="408">
        <v>85</v>
      </c>
      <c r="D5" s="409">
        <v>435</v>
      </c>
      <c r="E5" s="409">
        <v>355</v>
      </c>
      <c r="F5" s="409">
        <v>14</v>
      </c>
      <c r="G5" s="415" t="s">
        <v>199</v>
      </c>
      <c r="H5" s="409">
        <v>87</v>
      </c>
      <c r="I5" s="409">
        <v>1220</v>
      </c>
      <c r="J5" s="409">
        <v>1320</v>
      </c>
      <c r="K5" s="426">
        <v>109</v>
      </c>
    </row>
    <row r="6" spans="1:11" ht="15.6" x14ac:dyDescent="0.3">
      <c r="B6" s="425" t="s">
        <v>161</v>
      </c>
      <c r="C6" s="408">
        <v>85</v>
      </c>
      <c r="D6" s="409">
        <v>515</v>
      </c>
      <c r="E6" s="409">
        <v>420</v>
      </c>
      <c r="F6" s="409">
        <v>14</v>
      </c>
      <c r="G6" s="415" t="s">
        <v>200</v>
      </c>
      <c r="H6" s="409">
        <v>87</v>
      </c>
      <c r="I6" s="409">
        <v>1120</v>
      </c>
      <c r="J6" s="409">
        <v>1200</v>
      </c>
      <c r="K6" s="426">
        <v>89</v>
      </c>
    </row>
    <row r="7" spans="1:11" ht="15.6" x14ac:dyDescent="0.3">
      <c r="B7" s="425" t="s">
        <v>162</v>
      </c>
      <c r="C7" s="408">
        <v>85</v>
      </c>
      <c r="D7" s="409">
        <v>525</v>
      </c>
      <c r="E7" s="409">
        <v>450</v>
      </c>
      <c r="F7" s="409">
        <v>15</v>
      </c>
      <c r="G7" s="415" t="s">
        <v>201</v>
      </c>
      <c r="H7" s="409">
        <v>87</v>
      </c>
      <c r="I7" s="409">
        <v>980</v>
      </c>
      <c r="J7" s="409">
        <v>990</v>
      </c>
      <c r="K7" s="426">
        <v>60</v>
      </c>
    </row>
    <row r="8" spans="1:11" ht="15.6" x14ac:dyDescent="0.3">
      <c r="B8" s="425" t="s">
        <v>164</v>
      </c>
      <c r="C8" s="408">
        <v>85</v>
      </c>
      <c r="D8" s="409">
        <v>440</v>
      </c>
      <c r="E8" s="409">
        <v>360</v>
      </c>
      <c r="F8" s="409">
        <v>12</v>
      </c>
      <c r="G8" s="415" t="s">
        <v>288</v>
      </c>
      <c r="H8" s="409">
        <v>87</v>
      </c>
      <c r="I8" s="409">
        <v>960</v>
      </c>
      <c r="J8" s="409">
        <v>1010</v>
      </c>
      <c r="K8" s="426">
        <v>65</v>
      </c>
    </row>
    <row r="9" spans="1:11" ht="15.6" x14ac:dyDescent="0.3">
      <c r="B9" s="425" t="s">
        <v>165</v>
      </c>
      <c r="C9" s="408">
        <v>85</v>
      </c>
      <c r="D9" s="409">
        <v>510</v>
      </c>
      <c r="E9" s="409">
        <v>460</v>
      </c>
      <c r="F9" s="409">
        <v>14</v>
      </c>
      <c r="G9" s="415" t="s">
        <v>202</v>
      </c>
      <c r="H9" s="409">
        <v>87</v>
      </c>
      <c r="I9" s="409">
        <v>1200</v>
      </c>
      <c r="J9" s="409">
        <v>1260</v>
      </c>
      <c r="K9" s="426">
        <v>98</v>
      </c>
    </row>
    <row r="10" spans="1:11" ht="15.6" x14ac:dyDescent="0.3">
      <c r="B10" s="425" t="s">
        <v>324</v>
      </c>
      <c r="C10" s="408">
        <v>85</v>
      </c>
      <c r="D10" s="409">
        <v>565</v>
      </c>
      <c r="E10" s="409" t="s">
        <v>26</v>
      </c>
      <c r="F10" s="409">
        <v>35</v>
      </c>
      <c r="G10" s="415" t="s">
        <v>203</v>
      </c>
      <c r="H10" s="409">
        <v>87</v>
      </c>
      <c r="I10" s="409">
        <v>1160</v>
      </c>
      <c r="J10" s="409">
        <v>1275</v>
      </c>
      <c r="K10" s="426">
        <v>86</v>
      </c>
    </row>
    <row r="11" spans="1:11" ht="15.6" x14ac:dyDescent="0.3">
      <c r="B11" s="423" t="s">
        <v>166</v>
      </c>
      <c r="C11" s="410"/>
      <c r="D11" s="412"/>
      <c r="E11" s="412"/>
      <c r="F11" s="411"/>
      <c r="G11" s="415" t="s">
        <v>177</v>
      </c>
      <c r="H11" s="409">
        <v>87</v>
      </c>
      <c r="I11" s="409">
        <v>1230</v>
      </c>
      <c r="J11" s="409">
        <v>1425</v>
      </c>
      <c r="K11" s="426">
        <v>105</v>
      </c>
    </row>
    <row r="12" spans="1:11" ht="15.6" x14ac:dyDescent="0.3">
      <c r="B12" s="425" t="s">
        <v>167</v>
      </c>
      <c r="C12" s="408">
        <v>84</v>
      </c>
      <c r="D12" s="409">
        <v>850</v>
      </c>
      <c r="E12" s="409">
        <v>830</v>
      </c>
      <c r="F12" s="409">
        <v>80</v>
      </c>
      <c r="G12" s="415" t="s">
        <v>338</v>
      </c>
      <c r="H12" s="409">
        <v>87</v>
      </c>
      <c r="I12" s="409">
        <v>1020</v>
      </c>
      <c r="J12" s="409">
        <v>1160</v>
      </c>
      <c r="K12" s="426">
        <v>110</v>
      </c>
    </row>
    <row r="13" spans="1:11" ht="15.6" x14ac:dyDescent="0.3">
      <c r="B13" s="425" t="s">
        <v>168</v>
      </c>
      <c r="C13" s="408">
        <v>84</v>
      </c>
      <c r="D13" s="409">
        <v>785</v>
      </c>
      <c r="E13" s="409">
        <v>770</v>
      </c>
      <c r="F13" s="409">
        <v>69</v>
      </c>
      <c r="G13" s="415" t="s">
        <v>204</v>
      </c>
      <c r="H13" s="409">
        <v>87</v>
      </c>
      <c r="I13" s="409">
        <v>1150</v>
      </c>
      <c r="J13" s="409">
        <v>1240</v>
      </c>
      <c r="K13" s="426">
        <v>115</v>
      </c>
    </row>
    <row r="14" spans="1:11" ht="15.6" x14ac:dyDescent="0.3">
      <c r="B14" s="425" t="s">
        <v>169</v>
      </c>
      <c r="C14" s="408">
        <v>84</v>
      </c>
      <c r="D14" s="409">
        <v>735</v>
      </c>
      <c r="E14" s="409">
        <v>715</v>
      </c>
      <c r="F14" s="409">
        <v>57</v>
      </c>
      <c r="G14" s="420" t="s">
        <v>340</v>
      </c>
      <c r="H14" s="419"/>
      <c r="I14" s="413"/>
      <c r="J14" s="413"/>
      <c r="K14" s="424"/>
    </row>
    <row r="15" spans="1:11" ht="15.6" x14ac:dyDescent="0.3">
      <c r="B15" s="425" t="s">
        <v>170</v>
      </c>
      <c r="C15" s="408">
        <v>84</v>
      </c>
      <c r="D15" s="409">
        <v>685</v>
      </c>
      <c r="E15" s="409">
        <v>675</v>
      </c>
      <c r="F15" s="409">
        <v>44</v>
      </c>
      <c r="G15" s="415" t="s">
        <v>205</v>
      </c>
      <c r="H15" s="409">
        <v>91</v>
      </c>
      <c r="I15" s="409">
        <v>715</v>
      </c>
      <c r="J15" s="409">
        <v>690</v>
      </c>
      <c r="K15" s="426">
        <v>80</v>
      </c>
    </row>
    <row r="16" spans="1:11" ht="15.6" x14ac:dyDescent="0.3">
      <c r="B16" s="425" t="s">
        <v>171</v>
      </c>
      <c r="C16" s="408">
        <v>84</v>
      </c>
      <c r="D16" s="409">
        <v>680</v>
      </c>
      <c r="E16" s="409">
        <v>620</v>
      </c>
      <c r="F16" s="409">
        <v>65</v>
      </c>
      <c r="G16" s="415" t="s">
        <v>206</v>
      </c>
      <c r="H16" s="409">
        <v>87</v>
      </c>
      <c r="I16" s="409">
        <v>1020</v>
      </c>
      <c r="J16" s="409">
        <v>1100</v>
      </c>
      <c r="K16" s="426">
        <v>105</v>
      </c>
    </row>
    <row r="17" spans="2:11" ht="15.6" x14ac:dyDescent="0.3">
      <c r="B17" s="425" t="s">
        <v>172</v>
      </c>
      <c r="C17" s="408">
        <v>84</v>
      </c>
      <c r="D17" s="409">
        <v>590</v>
      </c>
      <c r="E17" s="409">
        <v>490</v>
      </c>
      <c r="F17" s="409">
        <v>41</v>
      </c>
      <c r="G17" s="415" t="s">
        <v>207</v>
      </c>
      <c r="H17" s="409">
        <v>90</v>
      </c>
      <c r="I17" s="409">
        <v>1100</v>
      </c>
      <c r="J17" s="409">
        <v>1190</v>
      </c>
      <c r="K17" s="426">
        <v>53</v>
      </c>
    </row>
    <row r="18" spans="2:11" ht="15.6" x14ac:dyDescent="0.3">
      <c r="B18" s="425" t="s">
        <v>173</v>
      </c>
      <c r="C18" s="408">
        <v>84</v>
      </c>
      <c r="D18" s="409">
        <v>530</v>
      </c>
      <c r="E18" s="409">
        <v>450</v>
      </c>
      <c r="F18" s="409">
        <v>32</v>
      </c>
      <c r="G18" s="415" t="s">
        <v>208</v>
      </c>
      <c r="H18" s="409">
        <v>90</v>
      </c>
      <c r="I18" s="409">
        <v>1100</v>
      </c>
      <c r="J18" s="409">
        <v>1200</v>
      </c>
      <c r="K18" s="426">
        <v>82</v>
      </c>
    </row>
    <row r="19" spans="2:11" ht="15.6" x14ac:dyDescent="0.3">
      <c r="B19" s="423" t="s">
        <v>174</v>
      </c>
      <c r="C19" s="410"/>
      <c r="D19" s="412"/>
      <c r="E19" s="412"/>
      <c r="F19" s="411"/>
      <c r="G19" s="415" t="s">
        <v>339</v>
      </c>
      <c r="H19" s="409">
        <v>90</v>
      </c>
      <c r="I19" s="409">
        <v>910</v>
      </c>
      <c r="J19" s="409">
        <v>935</v>
      </c>
      <c r="K19" s="426">
        <v>181</v>
      </c>
    </row>
    <row r="20" spans="2:11" ht="15.6" x14ac:dyDescent="0.3">
      <c r="B20" s="425" t="s">
        <v>175</v>
      </c>
      <c r="C20" s="408">
        <v>17</v>
      </c>
      <c r="D20" s="409">
        <v>915</v>
      </c>
      <c r="E20" s="409">
        <v>930</v>
      </c>
      <c r="F20" s="409">
        <v>80</v>
      </c>
      <c r="G20" s="415" t="s">
        <v>209</v>
      </c>
      <c r="H20" s="409">
        <v>87</v>
      </c>
      <c r="I20" s="409">
        <v>930</v>
      </c>
      <c r="J20" s="409">
        <v>970</v>
      </c>
      <c r="K20" s="426">
        <v>75</v>
      </c>
    </row>
    <row r="21" spans="2:11" ht="15.6" x14ac:dyDescent="0.3">
      <c r="B21" s="425" t="s">
        <v>176</v>
      </c>
      <c r="C21" s="408">
        <v>20</v>
      </c>
      <c r="D21" s="409">
        <v>760</v>
      </c>
      <c r="E21" s="409">
        <v>740</v>
      </c>
      <c r="F21" s="409">
        <v>65</v>
      </c>
      <c r="G21" s="415" t="s">
        <v>210</v>
      </c>
      <c r="H21" s="409">
        <v>87</v>
      </c>
      <c r="I21" s="409">
        <v>995</v>
      </c>
      <c r="J21" s="409">
        <v>1050</v>
      </c>
      <c r="K21" s="426">
        <v>90</v>
      </c>
    </row>
    <row r="22" spans="2:11" ht="15.6" x14ac:dyDescent="0.3">
      <c r="B22" s="425" t="s">
        <v>325</v>
      </c>
      <c r="C22" s="408">
        <v>12</v>
      </c>
      <c r="D22" s="409">
        <v>960</v>
      </c>
      <c r="E22" s="409">
        <v>1000</v>
      </c>
      <c r="F22" s="409">
        <v>83</v>
      </c>
      <c r="G22" s="415" t="s">
        <v>211</v>
      </c>
      <c r="H22" s="409">
        <v>78</v>
      </c>
      <c r="I22" s="409">
        <v>1020</v>
      </c>
      <c r="J22" s="409">
        <v>1050</v>
      </c>
      <c r="K22" s="426">
        <v>70</v>
      </c>
    </row>
    <row r="23" spans="2:11" ht="15.6" x14ac:dyDescent="0.3">
      <c r="B23" s="425" t="s">
        <v>177</v>
      </c>
      <c r="C23" s="408">
        <v>28</v>
      </c>
      <c r="D23" s="409">
        <v>960</v>
      </c>
      <c r="E23" s="409">
        <v>1000</v>
      </c>
      <c r="F23" s="409">
        <v>55</v>
      </c>
      <c r="G23" s="415" t="s">
        <v>212</v>
      </c>
      <c r="H23" s="409">
        <v>87</v>
      </c>
      <c r="I23" s="409">
        <v>1130</v>
      </c>
      <c r="J23" s="409">
        <v>1240</v>
      </c>
      <c r="K23" s="426">
        <v>85</v>
      </c>
    </row>
    <row r="24" spans="2:11" ht="15.6" x14ac:dyDescent="0.3">
      <c r="B24" s="425" t="s">
        <v>178</v>
      </c>
      <c r="C24" s="408">
        <v>15</v>
      </c>
      <c r="D24" s="409">
        <v>840</v>
      </c>
      <c r="E24" s="409">
        <v>850</v>
      </c>
      <c r="F24" s="409">
        <v>55</v>
      </c>
      <c r="G24" s="415" t="s">
        <v>213</v>
      </c>
      <c r="H24" s="409">
        <v>87</v>
      </c>
      <c r="I24" s="409">
        <v>1250</v>
      </c>
      <c r="J24" s="409">
        <v>1390</v>
      </c>
      <c r="K24" s="426">
        <v>62</v>
      </c>
    </row>
    <row r="25" spans="2:11" ht="15.6" x14ac:dyDescent="0.3">
      <c r="B25" s="425" t="s">
        <v>179</v>
      </c>
      <c r="C25" s="408">
        <v>10</v>
      </c>
      <c r="D25" s="409">
        <v>820</v>
      </c>
      <c r="E25" s="409">
        <v>795</v>
      </c>
      <c r="F25" s="409">
        <v>65</v>
      </c>
      <c r="G25" s="415" t="s">
        <v>273</v>
      </c>
      <c r="H25" s="409">
        <v>90</v>
      </c>
      <c r="I25" s="409">
        <v>700</v>
      </c>
      <c r="J25" s="409" t="s">
        <v>26</v>
      </c>
      <c r="K25" s="426" t="s">
        <v>26</v>
      </c>
    </row>
    <row r="26" spans="2:11" ht="15.6" x14ac:dyDescent="0.3">
      <c r="B26" s="425" t="s">
        <v>263</v>
      </c>
      <c r="C26" s="408">
        <v>16</v>
      </c>
      <c r="D26" s="409">
        <v>800</v>
      </c>
      <c r="E26" s="409" t="s">
        <v>26</v>
      </c>
      <c r="F26" s="409">
        <v>70</v>
      </c>
      <c r="G26" s="415" t="s">
        <v>214</v>
      </c>
      <c r="H26" s="409">
        <v>90</v>
      </c>
      <c r="I26" s="409">
        <v>900</v>
      </c>
      <c r="J26" s="409" t="s">
        <v>26</v>
      </c>
      <c r="K26" s="426" t="s">
        <v>26</v>
      </c>
    </row>
    <row r="27" spans="2:11" ht="15.6" x14ac:dyDescent="0.3">
      <c r="B27" s="425" t="s">
        <v>180</v>
      </c>
      <c r="C27" s="408">
        <v>11</v>
      </c>
      <c r="D27" s="409">
        <v>950</v>
      </c>
      <c r="E27" s="409" t="s">
        <v>26</v>
      </c>
      <c r="F27" s="409">
        <v>85</v>
      </c>
      <c r="G27" s="415" t="s">
        <v>215</v>
      </c>
      <c r="H27" s="409">
        <v>90</v>
      </c>
      <c r="I27" s="409">
        <v>890</v>
      </c>
      <c r="J27" s="409">
        <v>910</v>
      </c>
      <c r="K27" s="426">
        <v>14</v>
      </c>
    </row>
    <row r="28" spans="2:11" ht="15.6" x14ac:dyDescent="0.3">
      <c r="B28" s="423" t="s">
        <v>181</v>
      </c>
      <c r="C28" s="419"/>
      <c r="D28" s="413"/>
      <c r="E28" s="413"/>
      <c r="F28" s="392"/>
      <c r="G28" s="415" t="s">
        <v>216</v>
      </c>
      <c r="H28" s="409">
        <v>80</v>
      </c>
      <c r="I28" s="409">
        <v>1040</v>
      </c>
      <c r="J28" s="409">
        <v>1105</v>
      </c>
      <c r="K28" s="426">
        <v>50</v>
      </c>
    </row>
    <row r="29" spans="2:11" ht="15.6" x14ac:dyDescent="0.3">
      <c r="B29" s="425" t="s">
        <v>182</v>
      </c>
      <c r="C29" s="408">
        <v>18</v>
      </c>
      <c r="D29" s="409">
        <v>900</v>
      </c>
      <c r="E29" s="409">
        <v>910</v>
      </c>
      <c r="F29" s="409">
        <v>50</v>
      </c>
      <c r="G29" s="420" t="s">
        <v>217</v>
      </c>
      <c r="H29" s="410"/>
      <c r="I29" s="412"/>
      <c r="J29" s="412"/>
      <c r="K29" s="427"/>
    </row>
    <row r="30" spans="2:11" ht="15.6" x14ac:dyDescent="0.3">
      <c r="B30" s="425" t="s">
        <v>183</v>
      </c>
      <c r="C30" s="408">
        <v>19</v>
      </c>
      <c r="D30" s="409">
        <v>825</v>
      </c>
      <c r="E30" s="409">
        <v>835</v>
      </c>
      <c r="F30" s="409">
        <v>43</v>
      </c>
      <c r="G30" s="415" t="s">
        <v>341</v>
      </c>
      <c r="H30" s="409">
        <v>91</v>
      </c>
      <c r="I30" s="409">
        <v>1240</v>
      </c>
      <c r="J30" s="409">
        <v>1375</v>
      </c>
      <c r="K30" s="426">
        <v>190</v>
      </c>
    </row>
    <row r="31" spans="2:11" ht="15.6" x14ac:dyDescent="0.3">
      <c r="B31" s="425" t="s">
        <v>184</v>
      </c>
      <c r="C31" s="408">
        <v>20</v>
      </c>
      <c r="D31" s="409">
        <v>70</v>
      </c>
      <c r="E31" s="409">
        <v>760</v>
      </c>
      <c r="F31" s="409">
        <v>36</v>
      </c>
      <c r="G31" s="415" t="s">
        <v>268</v>
      </c>
      <c r="H31" s="409">
        <v>91</v>
      </c>
      <c r="I31" s="409">
        <v>1000</v>
      </c>
      <c r="J31" s="409">
        <v>1060</v>
      </c>
      <c r="K31" s="426">
        <v>210</v>
      </c>
    </row>
    <row r="32" spans="2:11" ht="15.6" x14ac:dyDescent="0.3">
      <c r="B32" s="425" t="s">
        <v>185</v>
      </c>
      <c r="C32" s="408">
        <v>21</v>
      </c>
      <c r="D32" s="409">
        <v>675</v>
      </c>
      <c r="E32" s="409">
        <v>670</v>
      </c>
      <c r="F32" s="409">
        <v>30</v>
      </c>
      <c r="G32" s="415" t="s">
        <v>269</v>
      </c>
      <c r="H32" s="409">
        <v>90</v>
      </c>
      <c r="I32" s="409">
        <v>1210</v>
      </c>
      <c r="J32" s="409">
        <v>1335</v>
      </c>
      <c r="K32" s="426">
        <v>170</v>
      </c>
    </row>
    <row r="33" spans="2:11" ht="15.6" x14ac:dyDescent="0.3">
      <c r="B33" s="425" t="s">
        <v>326</v>
      </c>
      <c r="C33" s="408">
        <v>30</v>
      </c>
      <c r="D33" s="409">
        <v>900</v>
      </c>
      <c r="E33" s="409">
        <v>910</v>
      </c>
      <c r="F33" s="409">
        <v>59</v>
      </c>
      <c r="G33" s="415" t="s">
        <v>270</v>
      </c>
      <c r="H33" s="409">
        <v>91</v>
      </c>
      <c r="I33" s="409">
        <v>1120</v>
      </c>
      <c r="J33" s="409">
        <v>1220</v>
      </c>
      <c r="K33" s="426">
        <v>175</v>
      </c>
    </row>
    <row r="34" spans="2:11" ht="15.6" x14ac:dyDescent="0.3">
      <c r="B34" s="425" t="s">
        <v>327</v>
      </c>
      <c r="C34" s="408">
        <v>30</v>
      </c>
      <c r="D34" s="409">
        <v>825</v>
      </c>
      <c r="E34" s="409">
        <v>835</v>
      </c>
      <c r="F34" s="409">
        <v>50</v>
      </c>
      <c r="G34" s="415" t="s">
        <v>271</v>
      </c>
      <c r="H34" s="409">
        <v>91</v>
      </c>
      <c r="I34" s="409">
        <v>1090</v>
      </c>
      <c r="J34" s="409">
        <v>1180</v>
      </c>
      <c r="K34" s="426">
        <v>105</v>
      </c>
    </row>
    <row r="35" spans="2:11" ht="15.6" x14ac:dyDescent="0.3">
      <c r="B35" s="425" t="s">
        <v>328</v>
      </c>
      <c r="C35" s="408">
        <v>30</v>
      </c>
      <c r="D35" s="409">
        <v>750</v>
      </c>
      <c r="E35" s="409">
        <v>760</v>
      </c>
      <c r="F35" s="409">
        <v>41</v>
      </c>
      <c r="G35" s="415" t="s">
        <v>342</v>
      </c>
      <c r="H35" s="409">
        <v>90</v>
      </c>
      <c r="I35" s="409">
        <v>1175</v>
      </c>
      <c r="J35" s="409">
        <v>1295</v>
      </c>
      <c r="K35" s="426">
        <v>95</v>
      </c>
    </row>
    <row r="36" spans="2:11" ht="15.6" x14ac:dyDescent="0.3">
      <c r="B36" s="425" t="s">
        <v>329</v>
      </c>
      <c r="C36" s="408">
        <v>30</v>
      </c>
      <c r="D36" s="409">
        <v>675</v>
      </c>
      <c r="E36" s="409">
        <v>670</v>
      </c>
      <c r="F36" s="409">
        <v>32</v>
      </c>
      <c r="G36" s="415" t="s">
        <v>272</v>
      </c>
      <c r="H36" s="409">
        <v>90</v>
      </c>
      <c r="I36" s="409">
        <v>1090</v>
      </c>
      <c r="J36" s="409">
        <v>1180</v>
      </c>
      <c r="K36" s="426">
        <v>145</v>
      </c>
    </row>
    <row r="37" spans="2:11" ht="15.6" x14ac:dyDescent="0.3">
      <c r="B37" s="425" t="s">
        <v>330</v>
      </c>
      <c r="C37" s="408">
        <v>45</v>
      </c>
      <c r="D37" s="409">
        <v>900</v>
      </c>
      <c r="E37" s="409">
        <v>910</v>
      </c>
      <c r="F37" s="409">
        <v>70</v>
      </c>
      <c r="G37" s="415" t="s">
        <v>267</v>
      </c>
      <c r="H37" s="409">
        <v>93</v>
      </c>
      <c r="I37" s="409">
        <v>1160</v>
      </c>
      <c r="J37" s="409">
        <v>1275</v>
      </c>
      <c r="K37" s="426">
        <v>185</v>
      </c>
    </row>
    <row r="38" spans="2:11" ht="15.6" x14ac:dyDescent="0.3">
      <c r="B38" s="425" t="s">
        <v>331</v>
      </c>
      <c r="C38" s="408">
        <v>45</v>
      </c>
      <c r="D38" s="409">
        <v>925</v>
      </c>
      <c r="E38" s="409">
        <v>935</v>
      </c>
      <c r="F38" s="409">
        <v>60</v>
      </c>
      <c r="G38" s="415" t="s">
        <v>218</v>
      </c>
      <c r="H38" s="409">
        <v>91</v>
      </c>
      <c r="I38" s="409">
        <v>1080</v>
      </c>
      <c r="J38" s="409">
        <v>1165</v>
      </c>
      <c r="K38" s="426">
        <v>205</v>
      </c>
    </row>
    <row r="39" spans="2:11" ht="15.6" x14ac:dyDescent="0.3">
      <c r="B39" s="425" t="s">
        <v>332</v>
      </c>
      <c r="C39" s="408">
        <v>45</v>
      </c>
      <c r="D39" s="409">
        <v>750</v>
      </c>
      <c r="E39" s="409">
        <v>760</v>
      </c>
      <c r="F39" s="409">
        <v>50</v>
      </c>
      <c r="G39" s="415" t="s">
        <v>266</v>
      </c>
      <c r="H39" s="409">
        <v>91</v>
      </c>
      <c r="I39" s="409">
        <v>860</v>
      </c>
      <c r="J39" s="409">
        <v>875</v>
      </c>
      <c r="K39" s="426">
        <v>235</v>
      </c>
    </row>
    <row r="40" spans="2:11" ht="15.6" x14ac:dyDescent="0.3">
      <c r="B40" s="425" t="s">
        <v>333</v>
      </c>
      <c r="C40" s="408">
        <v>45</v>
      </c>
      <c r="D40" s="409">
        <v>675</v>
      </c>
      <c r="E40" s="409">
        <v>670</v>
      </c>
      <c r="F40" s="409">
        <v>40</v>
      </c>
      <c r="G40" s="415" t="s">
        <v>219</v>
      </c>
      <c r="H40" s="409">
        <v>91</v>
      </c>
      <c r="I40" s="409">
        <v>970</v>
      </c>
      <c r="J40" s="409">
        <v>1015</v>
      </c>
      <c r="K40" s="426">
        <v>180</v>
      </c>
    </row>
    <row r="41" spans="2:11" ht="15.6" x14ac:dyDescent="0.3">
      <c r="B41" s="423" t="s">
        <v>186</v>
      </c>
      <c r="C41" s="410"/>
      <c r="D41" s="412"/>
      <c r="E41" s="412"/>
      <c r="F41" s="411"/>
      <c r="G41" s="415" t="s">
        <v>220</v>
      </c>
      <c r="H41" s="409">
        <v>91</v>
      </c>
      <c r="I41" s="409">
        <v>935</v>
      </c>
      <c r="J41" s="409">
        <v>975</v>
      </c>
      <c r="K41" s="426">
        <v>180</v>
      </c>
    </row>
    <row r="42" spans="2:11" ht="15.6" x14ac:dyDescent="0.3">
      <c r="B42" s="425" t="s">
        <v>187</v>
      </c>
      <c r="C42" s="408">
        <v>22</v>
      </c>
      <c r="D42" s="409">
        <v>870</v>
      </c>
      <c r="E42" s="409">
        <v>880</v>
      </c>
      <c r="F42" s="409">
        <v>50</v>
      </c>
      <c r="G42" s="415" t="s">
        <v>221</v>
      </c>
      <c r="H42" s="409">
        <v>90</v>
      </c>
      <c r="I42" s="409">
        <v>930</v>
      </c>
      <c r="J42" s="409">
        <v>970</v>
      </c>
      <c r="K42" s="426">
        <v>120</v>
      </c>
    </row>
    <row r="43" spans="2:11" ht="15.6" x14ac:dyDescent="0.3">
      <c r="B43" s="425" t="s">
        <v>335</v>
      </c>
      <c r="C43" s="408">
        <v>26</v>
      </c>
      <c r="D43" s="409">
        <v>905</v>
      </c>
      <c r="E43" s="409">
        <v>910</v>
      </c>
      <c r="F43" s="409">
        <v>52</v>
      </c>
      <c r="G43" s="415" t="s">
        <v>222</v>
      </c>
      <c r="H43" s="409">
        <v>89</v>
      </c>
      <c r="I43" s="409">
        <v>1030</v>
      </c>
      <c r="J43" s="409">
        <v>1095</v>
      </c>
      <c r="K43" s="426">
        <v>100</v>
      </c>
    </row>
    <row r="44" spans="2:11" ht="15.6" x14ac:dyDescent="0.3">
      <c r="B44" s="425" t="s">
        <v>334</v>
      </c>
      <c r="C44" s="408">
        <v>30</v>
      </c>
      <c r="D44" s="409">
        <v>935</v>
      </c>
      <c r="E44" s="409">
        <v>950</v>
      </c>
      <c r="F44" s="409">
        <v>54</v>
      </c>
      <c r="G44" s="415" t="s">
        <v>265</v>
      </c>
      <c r="H44" s="409">
        <v>91</v>
      </c>
      <c r="I44" s="409">
        <v>890</v>
      </c>
      <c r="J44" s="409">
        <v>920</v>
      </c>
      <c r="K44" s="426">
        <v>145</v>
      </c>
    </row>
    <row r="45" spans="2:11" ht="15.6" x14ac:dyDescent="0.3">
      <c r="B45" s="425" t="s">
        <v>188</v>
      </c>
      <c r="C45" s="408">
        <v>34</v>
      </c>
      <c r="D45" s="409">
        <v>955</v>
      </c>
      <c r="E45" s="409">
        <v>970</v>
      </c>
      <c r="F45" s="409">
        <v>55</v>
      </c>
      <c r="G45" s="415" t="s">
        <v>264</v>
      </c>
      <c r="H45" s="409">
        <v>91</v>
      </c>
      <c r="I45" s="409">
        <v>975</v>
      </c>
      <c r="J45" s="409">
        <v>1025</v>
      </c>
      <c r="K45" s="426">
        <v>200</v>
      </c>
    </row>
    <row r="46" spans="2:11" ht="15.6" x14ac:dyDescent="0.3">
      <c r="B46" s="425" t="s">
        <v>176</v>
      </c>
      <c r="C46" s="408">
        <v>23</v>
      </c>
      <c r="D46" s="409">
        <v>720</v>
      </c>
      <c r="E46" s="409">
        <v>670</v>
      </c>
      <c r="F46" s="409">
        <v>30</v>
      </c>
      <c r="G46" s="415" t="s">
        <v>223</v>
      </c>
      <c r="H46" s="409">
        <v>91</v>
      </c>
      <c r="I46" s="409">
        <v>1110</v>
      </c>
      <c r="J46" s="409">
        <v>1205</v>
      </c>
      <c r="K46" s="426">
        <v>265</v>
      </c>
    </row>
    <row r="47" spans="2:11" ht="15.6" x14ac:dyDescent="0.3">
      <c r="B47" s="425" t="s">
        <v>173</v>
      </c>
      <c r="C47" s="408">
        <v>23</v>
      </c>
      <c r="D47" s="409">
        <v>625</v>
      </c>
      <c r="E47" s="409">
        <v>570</v>
      </c>
      <c r="F47" s="409">
        <v>45</v>
      </c>
      <c r="G47" s="420" t="s">
        <v>224</v>
      </c>
      <c r="H47" s="410"/>
      <c r="I47" s="412"/>
      <c r="J47" s="412"/>
      <c r="K47" s="427"/>
    </row>
    <row r="48" spans="2:11" ht="15.6" x14ac:dyDescent="0.3">
      <c r="B48" s="425" t="s">
        <v>189</v>
      </c>
      <c r="C48" s="408">
        <v>9</v>
      </c>
      <c r="D48" s="409">
        <v>1040</v>
      </c>
      <c r="E48" s="409">
        <v>1090</v>
      </c>
      <c r="F48" s="409">
        <v>106</v>
      </c>
      <c r="G48" s="415" t="s">
        <v>225</v>
      </c>
      <c r="H48" s="409">
        <v>15</v>
      </c>
      <c r="I48" s="409">
        <v>800</v>
      </c>
      <c r="J48" s="409" t="s">
        <v>26</v>
      </c>
      <c r="K48" s="426">
        <v>0</v>
      </c>
    </row>
    <row r="49" spans="2:11" ht="15.6" x14ac:dyDescent="0.3">
      <c r="B49" s="425" t="s">
        <v>190</v>
      </c>
      <c r="C49" s="408">
        <v>14</v>
      </c>
      <c r="D49" s="409">
        <v>1040</v>
      </c>
      <c r="E49" s="409">
        <v>1090</v>
      </c>
      <c r="F49" s="409">
        <v>105</v>
      </c>
      <c r="G49" s="415" t="s">
        <v>226</v>
      </c>
      <c r="H49" s="409">
        <v>18</v>
      </c>
      <c r="I49" s="409">
        <v>835</v>
      </c>
      <c r="J49" s="409" t="s">
        <v>26</v>
      </c>
      <c r="K49" s="426">
        <v>0</v>
      </c>
    </row>
    <row r="50" spans="2:11" ht="15.6" x14ac:dyDescent="0.3">
      <c r="B50" s="425" t="s">
        <v>191</v>
      </c>
      <c r="C50" s="408">
        <v>22</v>
      </c>
      <c r="D50" s="409">
        <v>1040</v>
      </c>
      <c r="E50" s="409">
        <v>1090</v>
      </c>
      <c r="F50" s="409">
        <v>105</v>
      </c>
      <c r="G50" s="415" t="s">
        <v>227</v>
      </c>
      <c r="H50" s="409">
        <v>35</v>
      </c>
      <c r="I50" s="409">
        <v>1000</v>
      </c>
      <c r="J50" s="409" t="s">
        <v>26</v>
      </c>
      <c r="K50" s="426">
        <v>97</v>
      </c>
    </row>
    <row r="51" spans="2:11" ht="15.6" x14ac:dyDescent="0.3">
      <c r="B51" s="425" t="s">
        <v>192</v>
      </c>
      <c r="C51" s="408">
        <v>24</v>
      </c>
      <c r="D51" s="409">
        <v>940</v>
      </c>
      <c r="E51" s="409">
        <v>940</v>
      </c>
      <c r="F51" s="409">
        <v>105</v>
      </c>
      <c r="G51" s="415" t="s">
        <v>228</v>
      </c>
      <c r="H51" s="409">
        <v>35</v>
      </c>
      <c r="I51" s="409">
        <v>900</v>
      </c>
      <c r="J51" s="409" t="s">
        <v>26</v>
      </c>
      <c r="K51" s="426">
        <v>0</v>
      </c>
    </row>
    <row r="52" spans="2:11" ht="15.6" x14ac:dyDescent="0.3">
      <c r="B52" s="425" t="s">
        <v>178</v>
      </c>
      <c r="C52" s="408">
        <v>17</v>
      </c>
      <c r="D52" s="409">
        <v>750</v>
      </c>
      <c r="E52" s="409">
        <v>725</v>
      </c>
      <c r="F52" s="409">
        <v>62</v>
      </c>
      <c r="G52" s="415" t="s">
        <v>229</v>
      </c>
      <c r="H52" s="409">
        <v>30</v>
      </c>
      <c r="I52" s="409">
        <v>750</v>
      </c>
      <c r="J52" s="409" t="s">
        <v>26</v>
      </c>
      <c r="K52" s="426">
        <v>0</v>
      </c>
    </row>
    <row r="53" spans="2:11" ht="15.6" x14ac:dyDescent="0.3">
      <c r="B53" s="423" t="s">
        <v>193</v>
      </c>
      <c r="C53" s="410"/>
      <c r="D53" s="412"/>
      <c r="E53" s="412"/>
      <c r="F53" s="411"/>
      <c r="G53" s="415" t="s">
        <v>230</v>
      </c>
      <c r="H53" s="409">
        <v>90</v>
      </c>
      <c r="I53" s="409">
        <v>930</v>
      </c>
      <c r="J53" s="409" t="s">
        <v>26</v>
      </c>
      <c r="K53" s="426">
        <v>182</v>
      </c>
    </row>
    <row r="54" spans="2:11" ht="15.6" x14ac:dyDescent="0.3">
      <c r="B54" s="425" t="s">
        <v>194</v>
      </c>
      <c r="C54" s="408">
        <v>22</v>
      </c>
      <c r="D54" s="409">
        <v>1080</v>
      </c>
      <c r="E54" s="409">
        <v>1150</v>
      </c>
      <c r="F54" s="409">
        <v>70</v>
      </c>
      <c r="G54" s="415" t="s">
        <v>231</v>
      </c>
      <c r="H54" s="409">
        <v>30</v>
      </c>
      <c r="I54" s="409">
        <v>800</v>
      </c>
      <c r="J54" s="409" t="s">
        <v>26</v>
      </c>
      <c r="K54" s="426">
        <v>0</v>
      </c>
    </row>
    <row r="55" spans="2:11" ht="15.6" x14ac:dyDescent="0.3">
      <c r="B55" s="428" t="s">
        <v>195</v>
      </c>
      <c r="C55" s="417">
        <v>22</v>
      </c>
      <c r="D55" s="418">
        <v>1050</v>
      </c>
      <c r="E55" s="418">
        <v>1170</v>
      </c>
      <c r="F55" s="418">
        <v>65</v>
      </c>
      <c r="G55" s="416" t="s">
        <v>232</v>
      </c>
      <c r="H55" s="418">
        <v>16</v>
      </c>
      <c r="I55" s="418">
        <v>1000</v>
      </c>
      <c r="J55" s="418">
        <v>1060</v>
      </c>
      <c r="K55" s="429">
        <v>45</v>
      </c>
    </row>
    <row r="56" spans="2:11" ht="15.6" x14ac:dyDescent="0.3">
      <c r="B56" s="425" t="s">
        <v>196</v>
      </c>
      <c r="C56" s="408">
        <v>13</v>
      </c>
      <c r="D56" s="409">
        <v>1090</v>
      </c>
      <c r="E56" s="409">
        <v>1225</v>
      </c>
      <c r="F56" s="409">
        <v>75</v>
      </c>
      <c r="G56" s="415" t="s">
        <v>343</v>
      </c>
      <c r="H56" s="409">
        <v>16</v>
      </c>
      <c r="I56" s="409">
        <v>1070</v>
      </c>
      <c r="J56" s="409">
        <v>1155</v>
      </c>
      <c r="K56" s="429">
        <v>65</v>
      </c>
    </row>
    <row r="57" spans="2:11" ht="15.6" x14ac:dyDescent="0.3">
      <c r="B57" s="425" t="s">
        <v>197</v>
      </c>
      <c r="C57" s="408">
        <v>13</v>
      </c>
      <c r="D57" s="409">
        <v>960</v>
      </c>
      <c r="E57" s="409">
        <v>1170</v>
      </c>
      <c r="F57" s="409">
        <v>60</v>
      </c>
      <c r="G57" s="415" t="s">
        <v>344</v>
      </c>
      <c r="H57" s="409">
        <v>14.5</v>
      </c>
      <c r="I57" s="409">
        <v>1035</v>
      </c>
      <c r="J57" s="409">
        <v>1105</v>
      </c>
      <c r="K57" s="429">
        <v>105</v>
      </c>
    </row>
    <row r="58" spans="2:11" ht="15.6" x14ac:dyDescent="0.3">
      <c r="B58" s="425" t="s">
        <v>336</v>
      </c>
      <c r="C58" s="408">
        <v>13</v>
      </c>
      <c r="D58" s="409">
        <v>1000</v>
      </c>
      <c r="E58" s="409">
        <v>1045</v>
      </c>
      <c r="F58" s="409">
        <v>65</v>
      </c>
      <c r="G58" s="415" t="s">
        <v>233</v>
      </c>
      <c r="H58" s="409">
        <v>7</v>
      </c>
      <c r="I58" s="409">
        <v>1100</v>
      </c>
      <c r="J58" s="409">
        <v>1190</v>
      </c>
      <c r="K58" s="429">
        <v>99</v>
      </c>
    </row>
    <row r="59" spans="2:11" ht="16.2" thickBot="1" x14ac:dyDescent="0.35">
      <c r="B59" s="430" t="s">
        <v>337</v>
      </c>
      <c r="C59" s="431">
        <v>13</v>
      </c>
      <c r="D59" s="432">
        <v>885</v>
      </c>
      <c r="E59" s="433">
        <v>900</v>
      </c>
      <c r="F59" s="433">
        <v>70</v>
      </c>
      <c r="G59" s="434"/>
      <c r="H59" s="433"/>
      <c r="I59" s="433"/>
      <c r="J59" s="433"/>
      <c r="K59" s="435"/>
    </row>
  </sheetData>
  <sheetProtection sheet="1" formatColumns="0" selectLockedCells="1"/>
  <mergeCells count="1">
    <mergeCell ref="B2:K2"/>
  </mergeCells>
  <pageMargins left="0.7" right="0.7" top="0.75" bottom="0.75" header="0.3" footer="0.3"/>
  <legacy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B2:N3"/>
  <sheetViews>
    <sheetView showGridLines="0" workbookViewId="0">
      <selection activeCell="F7" sqref="F7"/>
    </sheetView>
  </sheetViews>
  <sheetFormatPr baseColWidth="10" defaultRowHeight="14.4" x14ac:dyDescent="0.3"/>
  <cols>
    <col min="1" max="1" width="11.5546875" customWidth="1"/>
  </cols>
  <sheetData>
    <row r="2" spans="2:14" ht="14.4" customHeight="1" x14ac:dyDescent="0.3">
      <c r="B2" s="524" t="s">
        <v>348</v>
      </c>
      <c r="C2" s="524"/>
      <c r="D2" s="524"/>
      <c r="E2" s="524"/>
      <c r="F2" s="524"/>
      <c r="G2" s="524"/>
      <c r="H2" s="524"/>
      <c r="I2" s="524"/>
      <c r="J2" s="524"/>
      <c r="K2" s="524"/>
      <c r="L2" s="524"/>
      <c r="M2" s="524"/>
      <c r="N2" s="437"/>
    </row>
    <row r="3" spans="2:14" ht="14.4" customHeight="1" x14ac:dyDescent="0.3">
      <c r="B3" s="524"/>
      <c r="C3" s="524"/>
      <c r="D3" s="524"/>
      <c r="E3" s="524"/>
      <c r="F3" s="524"/>
      <c r="G3" s="524"/>
      <c r="H3" s="524"/>
      <c r="I3" s="524"/>
      <c r="J3" s="524"/>
      <c r="K3" s="524"/>
      <c r="L3" s="524"/>
      <c r="M3" s="524"/>
      <c r="N3" s="437"/>
    </row>
  </sheetData>
  <sheetProtection sheet="1" objects="1" scenarios="1"/>
  <mergeCells count="1">
    <mergeCell ref="B2:M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theme="0" tint="-0.249977111117893"/>
  </sheetPr>
  <dimension ref="A1:R45"/>
  <sheetViews>
    <sheetView showGridLines="0" zoomScale="85" zoomScaleNormal="85" workbookViewId="0">
      <selection activeCell="B3" sqref="B3:R31"/>
    </sheetView>
  </sheetViews>
  <sheetFormatPr baseColWidth="10" defaultRowHeight="14.4" x14ac:dyDescent="0.3"/>
  <cols>
    <col min="1" max="1" width="0.6640625" style="20" customWidth="1"/>
    <col min="2" max="2" width="20.33203125" customWidth="1"/>
    <col min="3" max="3" width="24.109375" customWidth="1"/>
    <col min="4" max="4" width="12.33203125" customWidth="1"/>
    <col min="5" max="5" width="12.21875" customWidth="1"/>
    <col min="10" max="10" width="30.33203125" customWidth="1"/>
    <col min="17" max="17" width="10.77734375" style="14"/>
    <col min="18" max="18" width="17.33203125" customWidth="1"/>
  </cols>
  <sheetData>
    <row r="1" spans="2:18" s="20" customFormat="1" ht="6" customHeight="1" thickBot="1" x14ac:dyDescent="0.35">
      <c r="Q1" s="14"/>
    </row>
    <row r="2" spans="2:18" ht="34.200000000000003" customHeight="1" x14ac:dyDescent="0.3">
      <c r="B2" s="525" t="s">
        <v>285</v>
      </c>
      <c r="C2" s="526"/>
      <c r="D2" s="526"/>
      <c r="E2" s="526"/>
      <c r="F2" s="526"/>
      <c r="G2" s="526"/>
      <c r="H2" s="526"/>
      <c r="I2" s="526"/>
      <c r="J2" s="526"/>
      <c r="K2" s="526"/>
      <c r="L2" s="526"/>
      <c r="M2" s="526"/>
      <c r="N2" s="526"/>
      <c r="O2" s="526"/>
      <c r="P2" s="526"/>
      <c r="Q2" s="526"/>
      <c r="R2" s="527"/>
    </row>
    <row r="3" spans="2:18" s="385" customFormat="1" ht="14.4" customHeight="1" x14ac:dyDescent="0.3">
      <c r="B3" s="528" t="s">
        <v>355</v>
      </c>
      <c r="C3" s="529"/>
      <c r="D3" s="529"/>
      <c r="E3" s="529"/>
      <c r="F3" s="529"/>
      <c r="G3" s="529"/>
      <c r="H3" s="529"/>
      <c r="I3" s="529"/>
      <c r="J3" s="529"/>
      <c r="K3" s="529"/>
      <c r="L3" s="529"/>
      <c r="M3" s="529"/>
      <c r="N3" s="529"/>
      <c r="O3" s="529"/>
      <c r="P3" s="529"/>
      <c r="Q3" s="529"/>
      <c r="R3" s="530"/>
    </row>
    <row r="4" spans="2:18" s="385" customFormat="1" x14ac:dyDescent="0.3">
      <c r="B4" s="528"/>
      <c r="C4" s="529"/>
      <c r="D4" s="529"/>
      <c r="E4" s="529"/>
      <c r="F4" s="529"/>
      <c r="G4" s="529"/>
      <c r="H4" s="529"/>
      <c r="I4" s="529"/>
      <c r="J4" s="529"/>
      <c r="K4" s="529"/>
      <c r="L4" s="529"/>
      <c r="M4" s="529"/>
      <c r="N4" s="529"/>
      <c r="O4" s="529"/>
      <c r="P4" s="529"/>
      <c r="Q4" s="529"/>
      <c r="R4" s="530"/>
    </row>
    <row r="5" spans="2:18" s="385" customFormat="1" x14ac:dyDescent="0.3">
      <c r="B5" s="528"/>
      <c r="C5" s="529"/>
      <c r="D5" s="529"/>
      <c r="E5" s="529"/>
      <c r="F5" s="529"/>
      <c r="G5" s="529"/>
      <c r="H5" s="529"/>
      <c r="I5" s="529"/>
      <c r="J5" s="529"/>
      <c r="K5" s="529"/>
      <c r="L5" s="529"/>
      <c r="M5" s="529"/>
      <c r="N5" s="529"/>
      <c r="O5" s="529"/>
      <c r="P5" s="529"/>
      <c r="Q5" s="529"/>
      <c r="R5" s="530"/>
    </row>
    <row r="6" spans="2:18" s="385" customFormat="1" x14ac:dyDescent="0.3">
      <c r="B6" s="528"/>
      <c r="C6" s="529"/>
      <c r="D6" s="529"/>
      <c r="E6" s="529"/>
      <c r="F6" s="529"/>
      <c r="G6" s="529"/>
      <c r="H6" s="529"/>
      <c r="I6" s="529"/>
      <c r="J6" s="529"/>
      <c r="K6" s="529"/>
      <c r="L6" s="529"/>
      <c r="M6" s="529"/>
      <c r="N6" s="529"/>
      <c r="O6" s="529"/>
      <c r="P6" s="529"/>
      <c r="Q6" s="529"/>
      <c r="R6" s="530"/>
    </row>
    <row r="7" spans="2:18" s="385" customFormat="1" ht="15.6" customHeight="1" x14ac:dyDescent="0.3">
      <c r="B7" s="528"/>
      <c r="C7" s="529"/>
      <c r="D7" s="529"/>
      <c r="E7" s="529"/>
      <c r="F7" s="529"/>
      <c r="G7" s="529"/>
      <c r="H7" s="529"/>
      <c r="I7" s="529"/>
      <c r="J7" s="529"/>
      <c r="K7" s="529"/>
      <c r="L7" s="529"/>
      <c r="M7" s="529"/>
      <c r="N7" s="529"/>
      <c r="O7" s="529"/>
      <c r="P7" s="529"/>
      <c r="Q7" s="529"/>
      <c r="R7" s="530"/>
    </row>
    <row r="8" spans="2:18" s="385" customFormat="1" ht="15.6" customHeight="1" x14ac:dyDescent="0.3">
      <c r="B8" s="528"/>
      <c r="C8" s="529"/>
      <c r="D8" s="529"/>
      <c r="E8" s="529"/>
      <c r="F8" s="529"/>
      <c r="G8" s="529"/>
      <c r="H8" s="529"/>
      <c r="I8" s="529"/>
      <c r="J8" s="529"/>
      <c r="K8" s="529"/>
      <c r="L8" s="529"/>
      <c r="M8" s="529"/>
      <c r="N8" s="529"/>
      <c r="O8" s="529"/>
      <c r="P8" s="529"/>
      <c r="Q8" s="529"/>
      <c r="R8" s="530"/>
    </row>
    <row r="9" spans="2:18" s="385" customFormat="1" x14ac:dyDescent="0.3">
      <c r="B9" s="528"/>
      <c r="C9" s="529"/>
      <c r="D9" s="529"/>
      <c r="E9" s="529"/>
      <c r="F9" s="529"/>
      <c r="G9" s="529"/>
      <c r="H9" s="529"/>
      <c r="I9" s="529"/>
      <c r="J9" s="529"/>
      <c r="K9" s="529"/>
      <c r="L9" s="529"/>
      <c r="M9" s="529"/>
      <c r="N9" s="529"/>
      <c r="O9" s="529"/>
      <c r="P9" s="529"/>
      <c r="Q9" s="529"/>
      <c r="R9" s="530"/>
    </row>
    <row r="10" spans="2:18" s="385" customFormat="1" x14ac:dyDescent="0.3">
      <c r="B10" s="528"/>
      <c r="C10" s="529"/>
      <c r="D10" s="529"/>
      <c r="E10" s="529"/>
      <c r="F10" s="529"/>
      <c r="G10" s="529"/>
      <c r="H10" s="529"/>
      <c r="I10" s="529"/>
      <c r="J10" s="529"/>
      <c r="K10" s="529"/>
      <c r="L10" s="529"/>
      <c r="M10" s="529"/>
      <c r="N10" s="529"/>
      <c r="O10" s="529"/>
      <c r="P10" s="529"/>
      <c r="Q10" s="529"/>
      <c r="R10" s="530"/>
    </row>
    <row r="11" spans="2:18" s="385" customFormat="1" x14ac:dyDescent="0.3">
      <c r="B11" s="528"/>
      <c r="C11" s="529"/>
      <c r="D11" s="529"/>
      <c r="E11" s="529"/>
      <c r="F11" s="529"/>
      <c r="G11" s="529"/>
      <c r="H11" s="529"/>
      <c r="I11" s="529"/>
      <c r="J11" s="529"/>
      <c r="K11" s="529"/>
      <c r="L11" s="529"/>
      <c r="M11" s="529"/>
      <c r="N11" s="529"/>
      <c r="O11" s="529"/>
      <c r="P11" s="529"/>
      <c r="Q11" s="529"/>
      <c r="R11" s="530"/>
    </row>
    <row r="12" spans="2:18" s="385" customFormat="1" x14ac:dyDescent="0.3">
      <c r="B12" s="528"/>
      <c r="C12" s="529"/>
      <c r="D12" s="529"/>
      <c r="E12" s="529"/>
      <c r="F12" s="529"/>
      <c r="G12" s="529"/>
      <c r="H12" s="529"/>
      <c r="I12" s="529"/>
      <c r="J12" s="529"/>
      <c r="K12" s="529"/>
      <c r="L12" s="529"/>
      <c r="M12" s="529"/>
      <c r="N12" s="529"/>
      <c r="O12" s="529"/>
      <c r="P12" s="529"/>
      <c r="Q12" s="529"/>
      <c r="R12" s="530"/>
    </row>
    <row r="13" spans="2:18" s="385" customFormat="1" x14ac:dyDescent="0.3">
      <c r="B13" s="528"/>
      <c r="C13" s="529"/>
      <c r="D13" s="529"/>
      <c r="E13" s="529"/>
      <c r="F13" s="529"/>
      <c r="G13" s="529"/>
      <c r="H13" s="529"/>
      <c r="I13" s="529"/>
      <c r="J13" s="529"/>
      <c r="K13" s="529"/>
      <c r="L13" s="529"/>
      <c r="M13" s="529"/>
      <c r="N13" s="529"/>
      <c r="O13" s="529"/>
      <c r="P13" s="529"/>
      <c r="Q13" s="529"/>
      <c r="R13" s="530"/>
    </row>
    <row r="14" spans="2:18" s="385" customFormat="1" x14ac:dyDescent="0.3">
      <c r="B14" s="528"/>
      <c r="C14" s="529"/>
      <c r="D14" s="529"/>
      <c r="E14" s="529"/>
      <c r="F14" s="529"/>
      <c r="G14" s="529"/>
      <c r="H14" s="529"/>
      <c r="I14" s="529"/>
      <c r="J14" s="529"/>
      <c r="K14" s="529"/>
      <c r="L14" s="529"/>
      <c r="M14" s="529"/>
      <c r="N14" s="529"/>
      <c r="O14" s="529"/>
      <c r="P14" s="529"/>
      <c r="Q14" s="529"/>
      <c r="R14" s="530"/>
    </row>
    <row r="15" spans="2:18" s="385" customFormat="1" x14ac:dyDescent="0.3">
      <c r="B15" s="528"/>
      <c r="C15" s="529"/>
      <c r="D15" s="529"/>
      <c r="E15" s="529"/>
      <c r="F15" s="529"/>
      <c r="G15" s="529"/>
      <c r="H15" s="529"/>
      <c r="I15" s="529"/>
      <c r="J15" s="529"/>
      <c r="K15" s="529"/>
      <c r="L15" s="529"/>
      <c r="M15" s="529"/>
      <c r="N15" s="529"/>
      <c r="O15" s="529"/>
      <c r="P15" s="529"/>
      <c r="Q15" s="529"/>
      <c r="R15" s="530"/>
    </row>
    <row r="16" spans="2:18" s="385" customFormat="1" x14ac:dyDescent="0.3">
      <c r="B16" s="528"/>
      <c r="C16" s="529"/>
      <c r="D16" s="529"/>
      <c r="E16" s="529"/>
      <c r="F16" s="529"/>
      <c r="G16" s="529"/>
      <c r="H16" s="529"/>
      <c r="I16" s="529"/>
      <c r="J16" s="529"/>
      <c r="K16" s="529"/>
      <c r="L16" s="529"/>
      <c r="M16" s="529"/>
      <c r="N16" s="529"/>
      <c r="O16" s="529"/>
      <c r="P16" s="529"/>
      <c r="Q16" s="529"/>
      <c r="R16" s="530"/>
    </row>
    <row r="17" spans="2:18" s="385" customFormat="1" x14ac:dyDescent="0.3">
      <c r="B17" s="528"/>
      <c r="C17" s="529"/>
      <c r="D17" s="529"/>
      <c r="E17" s="529"/>
      <c r="F17" s="529"/>
      <c r="G17" s="529"/>
      <c r="H17" s="529"/>
      <c r="I17" s="529"/>
      <c r="J17" s="529"/>
      <c r="K17" s="529"/>
      <c r="L17" s="529"/>
      <c r="M17" s="529"/>
      <c r="N17" s="529"/>
      <c r="O17" s="529"/>
      <c r="P17" s="529"/>
      <c r="Q17" s="529"/>
      <c r="R17" s="530"/>
    </row>
    <row r="18" spans="2:18" s="385" customFormat="1" x14ac:dyDescent="0.3">
      <c r="B18" s="528"/>
      <c r="C18" s="529"/>
      <c r="D18" s="529"/>
      <c r="E18" s="529"/>
      <c r="F18" s="529"/>
      <c r="G18" s="529"/>
      <c r="H18" s="529"/>
      <c r="I18" s="529"/>
      <c r="J18" s="529"/>
      <c r="K18" s="529"/>
      <c r="L18" s="529"/>
      <c r="M18" s="529"/>
      <c r="N18" s="529"/>
      <c r="O18" s="529"/>
      <c r="P18" s="529"/>
      <c r="Q18" s="529"/>
      <c r="R18" s="530"/>
    </row>
    <row r="19" spans="2:18" s="385" customFormat="1" x14ac:dyDescent="0.3">
      <c r="B19" s="528"/>
      <c r="C19" s="529"/>
      <c r="D19" s="529"/>
      <c r="E19" s="529"/>
      <c r="F19" s="529"/>
      <c r="G19" s="529"/>
      <c r="H19" s="529"/>
      <c r="I19" s="529"/>
      <c r="J19" s="529"/>
      <c r="K19" s="529"/>
      <c r="L19" s="529"/>
      <c r="M19" s="529"/>
      <c r="N19" s="529"/>
      <c r="O19" s="529"/>
      <c r="P19" s="529"/>
      <c r="Q19" s="529"/>
      <c r="R19" s="530"/>
    </row>
    <row r="20" spans="2:18" s="385" customFormat="1" x14ac:dyDescent="0.3">
      <c r="B20" s="528"/>
      <c r="C20" s="529"/>
      <c r="D20" s="529"/>
      <c r="E20" s="529"/>
      <c r="F20" s="529"/>
      <c r="G20" s="529"/>
      <c r="H20" s="529"/>
      <c r="I20" s="529"/>
      <c r="J20" s="529"/>
      <c r="K20" s="529"/>
      <c r="L20" s="529"/>
      <c r="M20" s="529"/>
      <c r="N20" s="529"/>
      <c r="O20" s="529"/>
      <c r="P20" s="529"/>
      <c r="Q20" s="529"/>
      <c r="R20" s="530"/>
    </row>
    <row r="21" spans="2:18" s="385" customFormat="1" x14ac:dyDescent="0.3">
      <c r="B21" s="528"/>
      <c r="C21" s="529"/>
      <c r="D21" s="529"/>
      <c r="E21" s="529"/>
      <c r="F21" s="529"/>
      <c r="G21" s="529"/>
      <c r="H21" s="529"/>
      <c r="I21" s="529"/>
      <c r="J21" s="529"/>
      <c r="K21" s="529"/>
      <c r="L21" s="529"/>
      <c r="M21" s="529"/>
      <c r="N21" s="529"/>
      <c r="O21" s="529"/>
      <c r="P21" s="529"/>
      <c r="Q21" s="529"/>
      <c r="R21" s="530"/>
    </row>
    <row r="22" spans="2:18" s="385" customFormat="1" x14ac:dyDescent="0.3">
      <c r="B22" s="528"/>
      <c r="C22" s="529"/>
      <c r="D22" s="529"/>
      <c r="E22" s="529"/>
      <c r="F22" s="529"/>
      <c r="G22" s="529"/>
      <c r="H22" s="529"/>
      <c r="I22" s="529"/>
      <c r="J22" s="529"/>
      <c r="K22" s="529"/>
      <c r="L22" s="529"/>
      <c r="M22" s="529"/>
      <c r="N22" s="529"/>
      <c r="O22" s="529"/>
      <c r="P22" s="529"/>
      <c r="Q22" s="529"/>
      <c r="R22" s="530"/>
    </row>
    <row r="23" spans="2:18" s="385" customFormat="1" x14ac:dyDescent="0.3">
      <c r="B23" s="528"/>
      <c r="C23" s="529"/>
      <c r="D23" s="529"/>
      <c r="E23" s="529"/>
      <c r="F23" s="529"/>
      <c r="G23" s="529"/>
      <c r="H23" s="529"/>
      <c r="I23" s="529"/>
      <c r="J23" s="529"/>
      <c r="K23" s="529"/>
      <c r="L23" s="529"/>
      <c r="M23" s="529"/>
      <c r="N23" s="529"/>
      <c r="O23" s="529"/>
      <c r="P23" s="529"/>
      <c r="Q23" s="529"/>
      <c r="R23" s="530"/>
    </row>
    <row r="24" spans="2:18" s="385" customFormat="1" x14ac:dyDescent="0.3">
      <c r="B24" s="528"/>
      <c r="C24" s="529"/>
      <c r="D24" s="529"/>
      <c r="E24" s="529"/>
      <c r="F24" s="529"/>
      <c r="G24" s="529"/>
      <c r="H24" s="529"/>
      <c r="I24" s="529"/>
      <c r="J24" s="529"/>
      <c r="K24" s="529"/>
      <c r="L24" s="529"/>
      <c r="M24" s="529"/>
      <c r="N24" s="529"/>
      <c r="O24" s="529"/>
      <c r="P24" s="529"/>
      <c r="Q24" s="529"/>
      <c r="R24" s="530"/>
    </row>
    <row r="25" spans="2:18" s="385" customFormat="1" x14ac:dyDescent="0.3">
      <c r="B25" s="528"/>
      <c r="C25" s="529"/>
      <c r="D25" s="529"/>
      <c r="E25" s="529"/>
      <c r="F25" s="529"/>
      <c r="G25" s="529"/>
      <c r="H25" s="529"/>
      <c r="I25" s="529"/>
      <c r="J25" s="529"/>
      <c r="K25" s="529"/>
      <c r="L25" s="529"/>
      <c r="M25" s="529"/>
      <c r="N25" s="529"/>
      <c r="O25" s="529"/>
      <c r="P25" s="529"/>
      <c r="Q25" s="529"/>
      <c r="R25" s="530"/>
    </row>
    <row r="26" spans="2:18" s="385" customFormat="1" x14ac:dyDescent="0.3">
      <c r="B26" s="528"/>
      <c r="C26" s="529"/>
      <c r="D26" s="529"/>
      <c r="E26" s="529"/>
      <c r="F26" s="529"/>
      <c r="G26" s="529"/>
      <c r="H26" s="529"/>
      <c r="I26" s="529"/>
      <c r="J26" s="529"/>
      <c r="K26" s="529"/>
      <c r="L26" s="529"/>
      <c r="M26" s="529"/>
      <c r="N26" s="529"/>
      <c r="O26" s="529"/>
      <c r="P26" s="529"/>
      <c r="Q26" s="529"/>
      <c r="R26" s="530"/>
    </row>
    <row r="27" spans="2:18" s="385" customFormat="1" x14ac:dyDescent="0.3">
      <c r="B27" s="528"/>
      <c r="C27" s="529"/>
      <c r="D27" s="529"/>
      <c r="E27" s="529"/>
      <c r="F27" s="529"/>
      <c r="G27" s="529"/>
      <c r="H27" s="529"/>
      <c r="I27" s="529"/>
      <c r="J27" s="529"/>
      <c r="K27" s="529"/>
      <c r="L27" s="529"/>
      <c r="M27" s="529"/>
      <c r="N27" s="529"/>
      <c r="O27" s="529"/>
      <c r="P27" s="529"/>
      <c r="Q27" s="529"/>
      <c r="R27" s="530"/>
    </row>
    <row r="28" spans="2:18" s="385" customFormat="1" x14ac:dyDescent="0.3">
      <c r="B28" s="528"/>
      <c r="C28" s="529"/>
      <c r="D28" s="529"/>
      <c r="E28" s="529"/>
      <c r="F28" s="529"/>
      <c r="G28" s="529"/>
      <c r="H28" s="529"/>
      <c r="I28" s="529"/>
      <c r="J28" s="529"/>
      <c r="K28" s="529"/>
      <c r="L28" s="529"/>
      <c r="M28" s="529"/>
      <c r="N28" s="529"/>
      <c r="O28" s="529"/>
      <c r="P28" s="529"/>
      <c r="Q28" s="529"/>
      <c r="R28" s="530"/>
    </row>
    <row r="29" spans="2:18" s="385" customFormat="1" x14ac:dyDescent="0.3">
      <c r="B29" s="528"/>
      <c r="C29" s="529"/>
      <c r="D29" s="529"/>
      <c r="E29" s="529"/>
      <c r="F29" s="529"/>
      <c r="G29" s="529"/>
      <c r="H29" s="529"/>
      <c r="I29" s="529"/>
      <c r="J29" s="529"/>
      <c r="K29" s="529"/>
      <c r="L29" s="529"/>
      <c r="M29" s="529"/>
      <c r="N29" s="529"/>
      <c r="O29" s="529"/>
      <c r="P29" s="529"/>
      <c r="Q29" s="529"/>
      <c r="R29" s="530"/>
    </row>
    <row r="30" spans="2:18" s="385" customFormat="1" x14ac:dyDescent="0.3">
      <c r="B30" s="528"/>
      <c r="C30" s="529"/>
      <c r="D30" s="529"/>
      <c r="E30" s="529"/>
      <c r="F30" s="529"/>
      <c r="G30" s="529"/>
      <c r="H30" s="529"/>
      <c r="I30" s="529"/>
      <c r="J30" s="529"/>
      <c r="K30" s="529"/>
      <c r="L30" s="529"/>
      <c r="M30" s="529"/>
      <c r="N30" s="529"/>
      <c r="O30" s="529"/>
      <c r="P30" s="529"/>
      <c r="Q30" s="529"/>
      <c r="R30" s="530"/>
    </row>
    <row r="31" spans="2:18" s="385" customFormat="1" ht="15" thickBot="1" x14ac:dyDescent="0.35">
      <c r="B31" s="531"/>
      <c r="C31" s="532"/>
      <c r="D31" s="532"/>
      <c r="E31" s="532"/>
      <c r="F31" s="532"/>
      <c r="G31" s="532"/>
      <c r="H31" s="532"/>
      <c r="I31" s="532"/>
      <c r="J31" s="532"/>
      <c r="K31" s="532"/>
      <c r="L31" s="532"/>
      <c r="M31" s="532"/>
      <c r="N31" s="532"/>
      <c r="O31" s="532"/>
      <c r="P31" s="532"/>
      <c r="Q31" s="532"/>
      <c r="R31" s="533"/>
    </row>
    <row r="32" spans="2:18" s="385" customFormat="1" x14ac:dyDescent="0.3">
      <c r="B32" s="438"/>
      <c r="C32" s="438"/>
      <c r="D32" s="438"/>
      <c r="E32" s="438"/>
      <c r="F32" s="438"/>
      <c r="G32" s="438"/>
      <c r="H32" s="438"/>
      <c r="I32" s="438"/>
      <c r="J32" s="438"/>
      <c r="K32" s="438"/>
      <c r="L32" s="438"/>
      <c r="M32" s="438"/>
      <c r="N32" s="438"/>
      <c r="O32" s="438"/>
      <c r="P32" s="438"/>
      <c r="Q32" s="438"/>
      <c r="R32" s="438"/>
    </row>
    <row r="33" spans="2:18" s="384" customFormat="1" x14ac:dyDescent="0.3">
      <c r="B33" s="438"/>
      <c r="C33" s="438"/>
      <c r="D33" s="438"/>
      <c r="E33" s="438"/>
      <c r="F33" s="438"/>
      <c r="G33" s="438"/>
      <c r="H33" s="438"/>
      <c r="I33" s="438"/>
      <c r="J33" s="438"/>
      <c r="K33" s="438"/>
      <c r="L33" s="438"/>
      <c r="M33" s="438"/>
      <c r="N33" s="438"/>
      <c r="O33" s="438"/>
      <c r="P33" s="438"/>
      <c r="Q33" s="438"/>
      <c r="R33" s="438"/>
    </row>
    <row r="34" spans="2:18" s="384" customFormat="1" x14ac:dyDescent="0.3">
      <c r="B34" s="438"/>
      <c r="C34" s="438"/>
      <c r="D34" s="438"/>
      <c r="E34" s="438"/>
      <c r="F34" s="438"/>
      <c r="G34" s="438"/>
      <c r="H34" s="438"/>
      <c r="I34" s="438"/>
      <c r="J34" s="438"/>
      <c r="K34" s="438"/>
      <c r="L34" s="438"/>
      <c r="M34" s="438"/>
      <c r="N34" s="438"/>
      <c r="O34" s="438"/>
      <c r="P34" s="438"/>
      <c r="Q34" s="438"/>
      <c r="R34" s="438"/>
    </row>
    <row r="35" spans="2:18" s="384" customFormat="1" x14ac:dyDescent="0.3"/>
    <row r="36" spans="2:18" s="384" customFormat="1" x14ac:dyDescent="0.3">
      <c r="B36" s="384" t="s">
        <v>313</v>
      </c>
    </row>
    <row r="37" spans="2:18" s="384" customFormat="1" x14ac:dyDescent="0.3"/>
    <row r="38" spans="2:18" s="384" customFormat="1" x14ac:dyDescent="0.3"/>
    <row r="39" spans="2:18" s="384" customFormat="1" x14ac:dyDescent="0.3"/>
    <row r="40" spans="2:18" s="384" customFormat="1" x14ac:dyDescent="0.3"/>
    <row r="41" spans="2:18" s="384" customFormat="1" x14ac:dyDescent="0.3"/>
    <row r="42" spans="2:18" s="384" customFormat="1" x14ac:dyDescent="0.3"/>
    <row r="43" spans="2:18" s="384" customFormat="1" x14ac:dyDescent="0.3"/>
    <row r="44" spans="2:18" s="384" customFormat="1" x14ac:dyDescent="0.3"/>
    <row r="45" spans="2:18" s="384" customFormat="1" ht="4.2" customHeight="1" x14ac:dyDescent="0.3"/>
  </sheetData>
  <sheetProtection sheet="1" formatColumns="0" selectLockedCells="1"/>
  <mergeCells count="2">
    <mergeCell ref="B2:R2"/>
    <mergeCell ref="B3:R3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tabColor theme="4" tint="0.39997558519241921"/>
  </sheetPr>
  <dimension ref="B1:D18"/>
  <sheetViews>
    <sheetView showGridLines="0" zoomScale="90" zoomScaleNormal="90" workbookViewId="0">
      <selection activeCell="C5" sqref="C5"/>
    </sheetView>
  </sheetViews>
  <sheetFormatPr baseColWidth="10" defaultRowHeight="14.4" x14ac:dyDescent="0.3"/>
  <cols>
    <col min="1" max="1" width="4.21875" customWidth="1"/>
    <col min="2" max="2" width="68.5546875" customWidth="1"/>
    <col min="3" max="3" width="66.77734375" customWidth="1"/>
    <col min="4" max="4" width="20.5546875" customWidth="1"/>
  </cols>
  <sheetData>
    <row r="1" spans="2:4" s="20" customFormat="1" ht="15" thickBot="1" x14ac:dyDescent="0.35"/>
    <row r="2" spans="2:4" ht="39" customHeight="1" thickBot="1" x14ac:dyDescent="0.35">
      <c r="B2" s="534" t="s">
        <v>286</v>
      </c>
      <c r="C2" s="535"/>
      <c r="D2" s="536"/>
    </row>
    <row r="3" spans="2:4" ht="21" x14ac:dyDescent="0.3">
      <c r="B3" s="386" t="s">
        <v>138</v>
      </c>
      <c r="C3" s="387" t="s">
        <v>0</v>
      </c>
      <c r="D3" s="388" t="s">
        <v>1</v>
      </c>
    </row>
    <row r="4" spans="2:4" ht="18" x14ac:dyDescent="0.3">
      <c r="B4" s="24" t="s">
        <v>136</v>
      </c>
      <c r="C4" s="92"/>
      <c r="D4" s="94"/>
    </row>
    <row r="5" spans="2:4" ht="18" x14ac:dyDescent="0.3">
      <c r="B5" s="24" t="s">
        <v>137</v>
      </c>
      <c r="C5" s="92"/>
      <c r="D5" s="94"/>
    </row>
    <row r="6" spans="2:4" s="5" customFormat="1" ht="18" x14ac:dyDescent="0.3">
      <c r="B6" s="24" t="s">
        <v>139</v>
      </c>
      <c r="C6" s="92"/>
      <c r="D6" s="94"/>
    </row>
    <row r="7" spans="2:4" ht="18" x14ac:dyDescent="0.3">
      <c r="B7" s="24" t="s">
        <v>257</v>
      </c>
      <c r="C7" s="92"/>
      <c r="D7" s="94"/>
    </row>
    <row r="8" spans="2:4" ht="18" x14ac:dyDescent="0.3">
      <c r="B8" s="24" t="s">
        <v>140</v>
      </c>
      <c r="C8" s="93"/>
      <c r="D8" s="95"/>
    </row>
    <row r="9" spans="2:4" s="5" customFormat="1" ht="18.600000000000001" thickBot="1" x14ac:dyDescent="0.35">
      <c r="B9" s="25" t="s">
        <v>141</v>
      </c>
      <c r="C9" s="93"/>
      <c r="D9" s="95"/>
    </row>
    <row r="10" spans="2:4" ht="21.6" thickBot="1" x14ac:dyDescent="0.35">
      <c r="B10" s="389" t="s">
        <v>5</v>
      </c>
      <c r="C10" s="390"/>
      <c r="D10" s="391">
        <f>SUM(D4:D9)</f>
        <v>0</v>
      </c>
    </row>
    <row r="18" spans="3:3" x14ac:dyDescent="0.3">
      <c r="C18" s="436"/>
    </row>
  </sheetData>
  <sheetProtection sheet="1" formatColumns="0" selectLockedCells="1"/>
  <mergeCells count="1">
    <mergeCell ref="B2:D2"/>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
    <tabColor theme="9" tint="0.39997558519241921"/>
  </sheetPr>
  <dimension ref="A1:S104"/>
  <sheetViews>
    <sheetView showGridLines="0" zoomScale="90" zoomScaleNormal="90" workbookViewId="0">
      <selection activeCell="K9" sqref="K9"/>
    </sheetView>
  </sheetViews>
  <sheetFormatPr baseColWidth="10" defaultRowHeight="14.4" x14ac:dyDescent="0.3"/>
  <cols>
    <col min="1" max="1" width="0.44140625" customWidth="1"/>
    <col min="2" max="2" width="27.77734375" customWidth="1"/>
    <col min="3" max="3" width="30.5546875" bestFit="1" customWidth="1"/>
    <col min="4" max="4" width="23" style="5" customWidth="1"/>
    <col min="5" max="5" width="22.77734375" style="5" customWidth="1"/>
    <col min="6" max="6" width="68.5546875" style="5" customWidth="1"/>
    <col min="7" max="7" width="25.44140625" style="5" customWidth="1"/>
    <col min="8" max="8" width="31.44140625" customWidth="1"/>
    <col min="9" max="9" width="35.44140625" customWidth="1"/>
    <col min="10" max="10" width="44.6640625" customWidth="1"/>
    <col min="11" max="11" width="36.88671875" bestFit="1" customWidth="1"/>
    <col min="12" max="12" width="47.88671875" customWidth="1"/>
    <col min="13" max="13" width="17.44140625" customWidth="1"/>
    <col min="14" max="14" width="19.77734375" customWidth="1"/>
    <col min="15" max="15" width="19.44140625" customWidth="1"/>
    <col min="16" max="16" width="14.5546875" customWidth="1"/>
  </cols>
  <sheetData>
    <row r="1" spans="1:13" s="20" customFormat="1" ht="2.4" customHeight="1" thickBot="1" x14ac:dyDescent="0.35"/>
    <row r="2" spans="1:13" ht="33.6" customHeight="1" thickBot="1" x14ac:dyDescent="0.55000000000000004">
      <c r="A2" s="1"/>
      <c r="B2" s="537" t="s">
        <v>287</v>
      </c>
      <c r="C2" s="538"/>
      <c r="D2" s="538"/>
      <c r="E2" s="538"/>
      <c r="F2" s="538"/>
      <c r="G2" s="538"/>
      <c r="H2" s="538"/>
      <c r="I2" s="538"/>
      <c r="J2" s="538"/>
      <c r="K2" s="538"/>
      <c r="L2" s="539"/>
      <c r="M2" s="2"/>
    </row>
    <row r="3" spans="1:13" ht="18.600000000000001" thickBot="1" x14ac:dyDescent="0.35">
      <c r="B3" s="133" t="s">
        <v>6</v>
      </c>
      <c r="C3" s="133" t="s">
        <v>0</v>
      </c>
      <c r="D3" s="133" t="s">
        <v>1</v>
      </c>
      <c r="E3" s="133" t="s">
        <v>60</v>
      </c>
      <c r="F3" s="133" t="s">
        <v>68</v>
      </c>
      <c r="G3" s="134" t="s">
        <v>59</v>
      </c>
      <c r="H3" s="134" t="s">
        <v>57</v>
      </c>
      <c r="I3" s="448" t="s">
        <v>354</v>
      </c>
      <c r="J3" s="135" t="s">
        <v>276</v>
      </c>
      <c r="K3" s="136" t="s">
        <v>349</v>
      </c>
      <c r="L3" s="137" t="s">
        <v>350</v>
      </c>
    </row>
    <row r="4" spans="1:13" ht="16.2" thickBot="1" x14ac:dyDescent="0.35">
      <c r="B4" s="26" t="s">
        <v>3</v>
      </c>
      <c r="C4" s="82"/>
      <c r="D4" s="81"/>
      <c r="E4" s="27"/>
      <c r="F4" s="28">
        <f>$D4*$E4</f>
        <v>0</v>
      </c>
      <c r="G4" s="29"/>
      <c r="H4" s="30">
        <f>$F4*$G4</f>
        <v>0</v>
      </c>
      <c r="I4" s="449"/>
      <c r="J4" s="460">
        <f>Tableau1[[#This Row],[T de MS]]*Tableau1[[#This Row],[VEM/kg de MS]]*1000</f>
        <v>0</v>
      </c>
      <c r="K4" s="440"/>
      <c r="L4" s="462">
        <f>Tableau1[[#This Row],[g de DVE/kg de MS]]*Tableau1[[#This Row],[T de MS]]</f>
        <v>0</v>
      </c>
    </row>
    <row r="5" spans="1:13" ht="16.2" thickBot="1" x14ac:dyDescent="0.35">
      <c r="B5" s="31"/>
      <c r="C5" s="82"/>
      <c r="D5" s="82"/>
      <c r="E5" s="32"/>
      <c r="F5" s="33">
        <f>$D5*$E5</f>
        <v>0</v>
      </c>
      <c r="G5" s="34"/>
      <c r="H5" s="35">
        <f t="shared" ref="H5:H7" si="0">$F5*$G5</f>
        <v>0</v>
      </c>
      <c r="I5" s="450"/>
      <c r="J5" s="460">
        <f>Tableau1[[#This Row],[T de MS]]*Tableau1[[#This Row],[VEM/kg de MS]]*1000</f>
        <v>0</v>
      </c>
      <c r="K5" s="441"/>
      <c r="L5" s="462">
        <f>Tableau1[[#This Row],[g de DVE/kg de MS]]*Tableau1[[#This Row],[T de MS]]</f>
        <v>0</v>
      </c>
    </row>
    <row r="6" spans="1:13" ht="16.2" thickBot="1" x14ac:dyDescent="0.35">
      <c r="B6" s="31"/>
      <c r="C6" s="82"/>
      <c r="D6" s="82"/>
      <c r="E6" s="32"/>
      <c r="F6" s="33">
        <f>$D6*$E6</f>
        <v>0</v>
      </c>
      <c r="G6" s="34"/>
      <c r="H6" s="35">
        <f t="shared" si="0"/>
        <v>0</v>
      </c>
      <c r="I6" s="450"/>
      <c r="J6" s="460">
        <f>Tableau1[[#This Row],[T de MS]]*Tableau1[[#This Row],[VEM/kg de MS]]*1000</f>
        <v>0</v>
      </c>
      <c r="K6" s="441"/>
      <c r="L6" s="462">
        <f>Tableau1[[#This Row],[g de DVE/kg de MS]]*Tableau1[[#This Row],[T de MS]]</f>
        <v>0</v>
      </c>
    </row>
    <row r="7" spans="1:13" ht="16.2" thickBot="1" x14ac:dyDescent="0.35">
      <c r="B7" s="36"/>
      <c r="C7" s="473"/>
      <c r="D7" s="83"/>
      <c r="E7" s="37"/>
      <c r="F7" s="28">
        <f t="shared" ref="F7" si="1">$D7*$E7</f>
        <v>0</v>
      </c>
      <c r="G7" s="38"/>
      <c r="H7" s="39">
        <f t="shared" si="0"/>
        <v>0</v>
      </c>
      <c r="I7" s="451"/>
      <c r="J7" s="460">
        <f>Tableau1[[#This Row],[T de MS]]*Tableau1[[#This Row],[VEM/kg de MS]]*1000</f>
        <v>0</v>
      </c>
      <c r="K7" s="442"/>
      <c r="L7" s="462">
        <f>Tableau1[[#This Row],[g de DVE/kg de MS]]*Tableau1[[#This Row],[T de MS]]</f>
        <v>0</v>
      </c>
    </row>
    <row r="8" spans="1:13" ht="19.2" customHeight="1" thickBot="1" x14ac:dyDescent="0.35">
      <c r="B8" s="40" t="s">
        <v>142</v>
      </c>
      <c r="C8" s="88" t="s">
        <v>281</v>
      </c>
      <c r="D8" s="81"/>
      <c r="E8" s="41"/>
      <c r="F8" s="42">
        <f>$D8*$E8</f>
        <v>0</v>
      </c>
      <c r="G8" s="43"/>
      <c r="H8" s="44">
        <f t="shared" ref="H8:H81" si="2">$F8*$G8</f>
        <v>0</v>
      </c>
      <c r="I8" s="452"/>
      <c r="J8" s="460">
        <f>Tableau1[[#This Row],[T de MS]]*Tableau1[[#This Row],[VEM/kg de MS]]*1000</f>
        <v>0</v>
      </c>
      <c r="K8" s="443"/>
      <c r="L8" s="462">
        <f>Tableau1[[#This Row],[g de DVE/kg de MS]]*Tableau1[[#This Row],[T de MS]]</f>
        <v>0</v>
      </c>
    </row>
    <row r="9" spans="1:13" ht="19.05" customHeight="1" thickBot="1" x14ac:dyDescent="0.35">
      <c r="B9" s="45"/>
      <c r="C9" s="82" t="s">
        <v>282</v>
      </c>
      <c r="D9" s="82"/>
      <c r="E9" s="32"/>
      <c r="F9" s="46">
        <f>$D9*$E9</f>
        <v>0</v>
      </c>
      <c r="G9" s="34"/>
      <c r="H9" s="47">
        <f t="shared" si="2"/>
        <v>0</v>
      </c>
      <c r="I9" s="453"/>
      <c r="J9" s="460">
        <f>Tableau1[[#This Row],[T de MS]]*Tableau1[[#This Row],[VEM/kg de MS]]*1000</f>
        <v>0</v>
      </c>
      <c r="K9" s="441"/>
      <c r="L9" s="462">
        <f>Tableau1[[#This Row],[g de DVE/kg de MS]]*Tableau1[[#This Row],[T de MS]]</f>
        <v>0</v>
      </c>
    </row>
    <row r="10" spans="1:13" ht="18.600000000000001" customHeight="1" thickBot="1" x14ac:dyDescent="0.35">
      <c r="B10" s="45"/>
      <c r="C10" s="82" t="s">
        <v>283</v>
      </c>
      <c r="D10" s="82"/>
      <c r="E10" s="32"/>
      <c r="F10" s="46">
        <f t="shared" ref="F10:F28" si="3">$D10*$E10</f>
        <v>0</v>
      </c>
      <c r="G10" s="34"/>
      <c r="H10" s="47">
        <f t="shared" si="2"/>
        <v>0</v>
      </c>
      <c r="I10" s="453"/>
      <c r="J10" s="460">
        <f>Tableau1[[#This Row],[T de MS]]*Tableau1[[#This Row],[VEM/kg de MS]]*1000</f>
        <v>0</v>
      </c>
      <c r="K10" s="441"/>
      <c r="L10" s="462">
        <f>Tableau1[[#This Row],[g de DVE/kg de MS]]*Tableau1[[#This Row],[T de MS]]</f>
        <v>0</v>
      </c>
    </row>
    <row r="11" spans="1:13" ht="19.05" customHeight="1" thickBot="1" x14ac:dyDescent="0.35">
      <c r="B11" s="45"/>
      <c r="C11" s="82" t="s">
        <v>143</v>
      </c>
      <c r="D11" s="82"/>
      <c r="E11" s="32"/>
      <c r="F11" s="46">
        <f t="shared" si="3"/>
        <v>0</v>
      </c>
      <c r="G11" s="34"/>
      <c r="H11" s="47">
        <f t="shared" si="2"/>
        <v>0</v>
      </c>
      <c r="I11" s="453"/>
      <c r="J11" s="460">
        <f>Tableau1[[#This Row],[T de MS]]*Tableau1[[#This Row],[VEM/kg de MS]]*1000</f>
        <v>0</v>
      </c>
      <c r="K11" s="441"/>
      <c r="L11" s="462">
        <f>Tableau1[[#This Row],[g de DVE/kg de MS]]*Tableau1[[#This Row],[T de MS]]</f>
        <v>0</v>
      </c>
    </row>
    <row r="12" spans="1:13" ht="16.2" thickBot="1" x14ac:dyDescent="0.35">
      <c r="B12" s="48"/>
      <c r="C12" s="82" t="s">
        <v>144</v>
      </c>
      <c r="D12" s="83"/>
      <c r="E12" s="49"/>
      <c r="F12" s="50">
        <f t="shared" si="3"/>
        <v>0</v>
      </c>
      <c r="G12" s="51"/>
      <c r="H12" s="52">
        <f t="shared" si="2"/>
        <v>0</v>
      </c>
      <c r="I12" s="454"/>
      <c r="J12" s="460">
        <f>Tableau1[[#This Row],[T de MS]]*Tableau1[[#This Row],[VEM/kg de MS]]*1000</f>
        <v>0</v>
      </c>
      <c r="K12" s="444"/>
      <c r="L12" s="462">
        <f>Tableau1[[#This Row],[g de DVE/kg de MS]]*Tableau1[[#This Row],[T de MS]]</f>
        <v>0</v>
      </c>
    </row>
    <row r="13" spans="1:13" ht="16.2" thickBot="1" x14ac:dyDescent="0.35">
      <c r="B13" s="477" t="s">
        <v>305</v>
      </c>
      <c r="C13" s="478" t="s">
        <v>289</v>
      </c>
      <c r="D13" s="81"/>
      <c r="E13" s="41"/>
      <c r="F13" s="42">
        <f>$D13*$E13</f>
        <v>0</v>
      </c>
      <c r="G13" s="43"/>
      <c r="H13" s="54">
        <f t="shared" si="2"/>
        <v>0</v>
      </c>
      <c r="I13" s="452"/>
      <c r="J13" s="460">
        <f>Tableau1[[#This Row],[T de MS]]*Tableau1[[#This Row],[VEM/kg de MS]]*1000</f>
        <v>0</v>
      </c>
      <c r="K13" s="443"/>
      <c r="L13" s="462">
        <f>Tableau1[[#This Row],[g de DVE/kg de MS]]*Tableau1[[#This Row],[T de MS]]</f>
        <v>0</v>
      </c>
    </row>
    <row r="14" spans="1:13" ht="16.2" thickBot="1" x14ac:dyDescent="0.35">
      <c r="B14" s="26" t="str">
        <f>IF(B13="","",IF(B13="Choisir une céréale","",B13))</f>
        <v/>
      </c>
      <c r="C14" s="479" t="s">
        <v>120</v>
      </c>
      <c r="D14" s="84" t="str">
        <f>IF(D13="","",D13)</f>
        <v/>
      </c>
      <c r="E14" s="49"/>
      <c r="F14" s="55">
        <f>$D$13*$E14</f>
        <v>0</v>
      </c>
      <c r="G14" s="51"/>
      <c r="H14" s="52">
        <f t="shared" si="2"/>
        <v>0</v>
      </c>
      <c r="I14" s="454"/>
      <c r="J14" s="460">
        <f>Tableau1[[#This Row],[T de MS]]*Tableau1[[#This Row],[VEM/kg de MS]]*1000</f>
        <v>0</v>
      </c>
      <c r="K14" s="444"/>
      <c r="L14" s="462">
        <f>Tableau1[[#This Row],[g de DVE/kg de MS]]*Tableau1[[#This Row],[T de MS]]</f>
        <v>0</v>
      </c>
    </row>
    <row r="15" spans="1:13" s="5" customFormat="1" ht="16.2" thickBot="1" x14ac:dyDescent="0.35">
      <c r="B15" s="477" t="s">
        <v>305</v>
      </c>
      <c r="C15" s="478" t="s">
        <v>289</v>
      </c>
      <c r="D15" s="85"/>
      <c r="E15" s="41"/>
      <c r="F15" s="56">
        <f>$D15*$E15</f>
        <v>0</v>
      </c>
      <c r="G15" s="57"/>
      <c r="H15" s="44">
        <f t="shared" si="2"/>
        <v>0</v>
      </c>
      <c r="I15" s="455"/>
      <c r="J15" s="460">
        <f>Tableau1[[#This Row],[T de MS]]*Tableau1[[#This Row],[VEM/kg de MS]]*1000</f>
        <v>0</v>
      </c>
      <c r="K15" s="445"/>
      <c r="L15" s="462">
        <f>Tableau1[[#This Row],[g de DVE/kg de MS]]*Tableau1[[#This Row],[T de MS]]</f>
        <v>0</v>
      </c>
    </row>
    <row r="16" spans="1:13" s="5" customFormat="1" ht="16.2" thickBot="1" x14ac:dyDescent="0.35">
      <c r="B16" s="26" t="str">
        <f>IF(B15="","",IF(B15="Choisir une céréale","",B15))</f>
        <v/>
      </c>
      <c r="C16" s="479" t="s">
        <v>120</v>
      </c>
      <c r="D16" s="84" t="str">
        <f>IF(D15="","",D15)</f>
        <v/>
      </c>
      <c r="E16" s="49"/>
      <c r="F16" s="55">
        <f>$D$15*$E16</f>
        <v>0</v>
      </c>
      <c r="G16" s="51"/>
      <c r="H16" s="52">
        <f>$F16*$G16</f>
        <v>0</v>
      </c>
      <c r="I16" s="454"/>
      <c r="J16" s="460">
        <f>Tableau1[[#This Row],[T de MS]]*Tableau1[[#This Row],[VEM/kg de MS]]*1000</f>
        <v>0</v>
      </c>
      <c r="K16" s="444"/>
      <c r="L16" s="462">
        <f>Tableau1[[#This Row],[g de DVE/kg de MS]]*Tableau1[[#This Row],[T de MS]]</f>
        <v>0</v>
      </c>
    </row>
    <row r="17" spans="2:12" s="5" customFormat="1" ht="16.2" thickBot="1" x14ac:dyDescent="0.35">
      <c r="B17" s="477" t="s">
        <v>305</v>
      </c>
      <c r="C17" s="478" t="s">
        <v>289</v>
      </c>
      <c r="D17" s="85"/>
      <c r="E17" s="41"/>
      <c r="F17" s="58">
        <f>$D17*$E17</f>
        <v>0</v>
      </c>
      <c r="G17" s="59"/>
      <c r="H17" s="54">
        <f>$F17*$G17</f>
        <v>0</v>
      </c>
      <c r="I17" s="455"/>
      <c r="J17" s="460">
        <f>Tableau1[[#This Row],[T de MS]]*Tableau1[[#This Row],[VEM/kg de MS]]*1000</f>
        <v>0</v>
      </c>
      <c r="K17" s="445"/>
      <c r="L17" s="462">
        <f>Tableau1[[#This Row],[g de DVE/kg de MS]]*Tableau1[[#This Row],[T de MS]]</f>
        <v>0</v>
      </c>
    </row>
    <row r="18" spans="2:12" s="5" customFormat="1" ht="16.2" thickBot="1" x14ac:dyDescent="0.35">
      <c r="B18" s="26" t="str">
        <f>IF(B17="","",IF(B17="Choisir une céréale","",B17))</f>
        <v/>
      </c>
      <c r="C18" s="479" t="s">
        <v>120</v>
      </c>
      <c r="D18" s="86" t="str">
        <f>IF(D17="","",D17)</f>
        <v/>
      </c>
      <c r="E18" s="49"/>
      <c r="F18" s="60">
        <f>$D$17*Tableau1[[#This Row],[Rdmt (T/Ha)]]</f>
        <v>0</v>
      </c>
      <c r="G18" s="61"/>
      <c r="H18" s="52">
        <f>Tableau1[[#This Row],[Rdmt MF]]*Tableau1[[#This Row],[% MS]]</f>
        <v>0</v>
      </c>
      <c r="I18" s="454"/>
      <c r="J18" s="460">
        <f>Tableau1[[#This Row],[T de MS]]*Tableau1[[#This Row],[VEM/kg de MS]]*1000</f>
        <v>0</v>
      </c>
      <c r="K18" s="444"/>
      <c r="L18" s="462">
        <f>Tableau1[[#This Row],[g de DVE/kg de MS]]*Tableau1[[#This Row],[T de MS]]</f>
        <v>0</v>
      </c>
    </row>
    <row r="19" spans="2:12" s="5" customFormat="1" ht="16.2" thickBot="1" x14ac:dyDescent="0.35">
      <c r="B19" s="477" t="s">
        <v>305</v>
      </c>
      <c r="C19" s="478" t="s">
        <v>289</v>
      </c>
      <c r="D19" s="85"/>
      <c r="E19" s="62"/>
      <c r="F19" s="58">
        <f>Tableau1[[#This Row],[Superficie (Ha)]]*Tableau1[[#This Row],[Rdmt (T/Ha)]]</f>
        <v>0</v>
      </c>
      <c r="G19" s="63"/>
      <c r="H19" s="44">
        <f>Tableau1[[#This Row],[Rdmt MF]]*Tableau1[[#This Row],[% MS]]</f>
        <v>0</v>
      </c>
      <c r="I19" s="455"/>
      <c r="J19" s="460">
        <f>Tableau1[[#This Row],[T de MS]]*Tableau1[[#This Row],[VEM/kg de MS]]*1000</f>
        <v>0</v>
      </c>
      <c r="K19" s="445"/>
      <c r="L19" s="462">
        <f>Tableau1[[#This Row],[g de DVE/kg de MS]]*Tableau1[[#This Row],[T de MS]]</f>
        <v>0</v>
      </c>
    </row>
    <row r="20" spans="2:12" s="5" customFormat="1" ht="16.2" thickBot="1" x14ac:dyDescent="0.35">
      <c r="B20" s="26" t="str">
        <f>IF(B19="","",IF(B19="Choisir une céréale","",B19))</f>
        <v/>
      </c>
      <c r="C20" s="479" t="s">
        <v>120</v>
      </c>
      <c r="D20" s="84" t="str">
        <f>IF(D19="","",D19)</f>
        <v/>
      </c>
      <c r="E20" s="64"/>
      <c r="F20" s="60">
        <f>$D$19*Tableau1[[#This Row],[Rdmt (T/Ha)]]</f>
        <v>0</v>
      </c>
      <c r="G20" s="61"/>
      <c r="H20" s="52">
        <f>Tableau1[[#This Row],[Rdmt MF]]*Tableau1[[#This Row],[% MS]]</f>
        <v>0</v>
      </c>
      <c r="I20" s="454"/>
      <c r="J20" s="460">
        <f>Tableau1[[#This Row],[T de MS]]*Tableau1[[#This Row],[VEM/kg de MS]]*1000</f>
        <v>0</v>
      </c>
      <c r="K20" s="444"/>
      <c r="L20" s="462">
        <f>Tableau1[[#This Row],[g de DVE/kg de MS]]*Tableau1[[#This Row],[T de MS]]</f>
        <v>0</v>
      </c>
    </row>
    <row r="21" spans="2:12" s="5" customFormat="1" ht="16.2" thickBot="1" x14ac:dyDescent="0.35">
      <c r="B21" s="477" t="s">
        <v>305</v>
      </c>
      <c r="C21" s="478" t="s">
        <v>289</v>
      </c>
      <c r="D21" s="85"/>
      <c r="E21" s="62"/>
      <c r="F21" s="58">
        <f>Tableau1[[#This Row],[Superficie (Ha)]]*Tableau1[[#This Row],[Rdmt (T/Ha)]]</f>
        <v>0</v>
      </c>
      <c r="G21" s="63"/>
      <c r="H21" s="44">
        <f>Tableau1[[#This Row],[Rdmt MF]]*Tableau1[[#This Row],[% MS]]</f>
        <v>0</v>
      </c>
      <c r="I21" s="455"/>
      <c r="J21" s="460">
        <f>Tableau1[[#This Row],[T de MS]]*Tableau1[[#This Row],[VEM/kg de MS]]*1000</f>
        <v>0</v>
      </c>
      <c r="K21" s="445"/>
      <c r="L21" s="462">
        <f>Tableau1[[#This Row],[g de DVE/kg de MS]]*Tableau1[[#This Row],[T de MS]]</f>
        <v>0</v>
      </c>
    </row>
    <row r="22" spans="2:12" ht="16.2" thickBot="1" x14ac:dyDescent="0.35">
      <c r="B22" s="26" t="str">
        <f>IF(B21="","",IF(B21="Choisir une céréale","",B21))</f>
        <v/>
      </c>
      <c r="C22" s="479" t="s">
        <v>120</v>
      </c>
      <c r="D22" s="84" t="str">
        <f>IF(D21="","",D21)</f>
        <v/>
      </c>
      <c r="E22" s="64"/>
      <c r="F22" s="60">
        <f>$D$21*Tableau1[[#This Row],[Rdmt (T/Ha)]]</f>
        <v>0</v>
      </c>
      <c r="G22" s="61"/>
      <c r="H22" s="52">
        <f>Tableau1[[#This Row],[Rdmt MF]]*Tableau1[[#This Row],[% MS]]</f>
        <v>0</v>
      </c>
      <c r="I22" s="454"/>
      <c r="J22" s="460">
        <f>Tableau1[[#This Row],[T de MS]]*Tableau1[[#This Row],[VEM/kg de MS]]*1000</f>
        <v>0</v>
      </c>
      <c r="K22" s="444"/>
      <c r="L22" s="462">
        <f>Tableau1[[#This Row],[g de DVE/kg de MS]]*Tableau1[[#This Row],[T de MS]]</f>
        <v>0</v>
      </c>
    </row>
    <row r="23" spans="2:12" ht="16.2" thickBot="1" x14ac:dyDescent="0.35">
      <c r="B23" s="477" t="s">
        <v>305</v>
      </c>
      <c r="C23" s="478" t="s">
        <v>289</v>
      </c>
      <c r="D23" s="85"/>
      <c r="E23" s="62"/>
      <c r="F23" s="58">
        <f>Tableau1[[#This Row],[Superficie (Ha)]]*Tableau1[[#This Row],[Rdmt (T/Ha)]]</f>
        <v>0</v>
      </c>
      <c r="G23" s="63"/>
      <c r="H23" s="44">
        <f>Tableau1[[#This Row],[Rdmt MF]]*Tableau1[[#This Row],[% MS]]</f>
        <v>0</v>
      </c>
      <c r="I23" s="455"/>
      <c r="J23" s="460">
        <f>Tableau1[[#This Row],[T de MS]]*Tableau1[[#This Row],[VEM/kg de MS]]*1000</f>
        <v>0</v>
      </c>
      <c r="K23" s="445"/>
      <c r="L23" s="462">
        <f>Tableau1[[#This Row],[g de DVE/kg de MS]]*Tableau1[[#This Row],[T de MS]]</f>
        <v>0</v>
      </c>
    </row>
    <row r="24" spans="2:12" ht="16.2" thickBot="1" x14ac:dyDescent="0.35">
      <c r="B24" s="26" t="str">
        <f>IF(B23="","",IF(B23="Choisir une céréale","",B23))</f>
        <v/>
      </c>
      <c r="C24" s="480" t="s">
        <v>120</v>
      </c>
      <c r="D24" s="87" t="str">
        <f>IF(D23="","",D23)</f>
        <v/>
      </c>
      <c r="E24" s="37"/>
      <c r="F24" s="60">
        <f>$D$23*Tableau1[[#This Row],[Rdmt (T/Ha)]]</f>
        <v>0</v>
      </c>
      <c r="G24" s="65"/>
      <c r="H24" s="66">
        <f>Tableau1[[#This Row],[Rdmt MF]]*Tableau1[[#This Row],[% MS]]</f>
        <v>0</v>
      </c>
      <c r="I24" s="456"/>
      <c r="J24" s="460">
        <f>Tableau1[[#This Row],[T de MS]]*Tableau1[[#This Row],[VEM/kg de MS]]*1000</f>
        <v>0</v>
      </c>
      <c r="K24" s="442"/>
      <c r="L24" s="462">
        <f>Tableau1[[#This Row],[g de DVE/kg de MS]]*Tableau1[[#This Row],[T de MS]]</f>
        <v>0</v>
      </c>
    </row>
    <row r="25" spans="2:12" ht="16.2" thickBot="1" x14ac:dyDescent="0.35">
      <c r="B25" s="53" t="s">
        <v>145</v>
      </c>
      <c r="C25" s="88"/>
      <c r="D25" s="88"/>
      <c r="E25" s="67"/>
      <c r="F25" s="58">
        <f t="shared" si="3"/>
        <v>0</v>
      </c>
      <c r="G25" s="59"/>
      <c r="H25" s="54">
        <f t="shared" si="2"/>
        <v>0</v>
      </c>
      <c r="I25" s="452"/>
      <c r="J25" s="460">
        <f>Tableau1[[#This Row],[T de MS]]*Tableau1[[#This Row],[VEM/kg de MS]]*1000</f>
        <v>0</v>
      </c>
      <c r="K25" s="443"/>
      <c r="L25" s="462">
        <f>Tableau1[[#This Row],[g de DVE/kg de MS]]*Tableau1[[#This Row],[T de MS]]</f>
        <v>0</v>
      </c>
    </row>
    <row r="26" spans="2:12" ht="16.2" thickBot="1" x14ac:dyDescent="0.35">
      <c r="B26" s="31"/>
      <c r="C26" s="82"/>
      <c r="D26" s="82"/>
      <c r="E26" s="32"/>
      <c r="F26" s="33">
        <f>$D26*$E26</f>
        <v>0</v>
      </c>
      <c r="G26" s="68"/>
      <c r="H26" s="47">
        <f t="shared" si="2"/>
        <v>0</v>
      </c>
      <c r="I26" s="453"/>
      <c r="J26" s="460">
        <f>Tableau1[[#This Row],[T de MS]]*Tableau1[[#This Row],[VEM/kg de MS]]*1000</f>
        <v>0</v>
      </c>
      <c r="K26" s="441"/>
      <c r="L26" s="462">
        <f>Tableau1[[#This Row],[g de DVE/kg de MS]]*Tableau1[[#This Row],[T de MS]]</f>
        <v>0</v>
      </c>
    </row>
    <row r="27" spans="2:12" ht="16.2" thickBot="1" x14ac:dyDescent="0.35">
      <c r="B27" s="31"/>
      <c r="C27" s="82"/>
      <c r="D27" s="82"/>
      <c r="E27" s="32"/>
      <c r="F27" s="33">
        <f>$D27*$E27</f>
        <v>0</v>
      </c>
      <c r="G27" s="68"/>
      <c r="H27" s="47">
        <f t="shared" si="2"/>
        <v>0</v>
      </c>
      <c r="I27" s="453"/>
      <c r="J27" s="460">
        <f>Tableau1[[#This Row],[T de MS]]*Tableau1[[#This Row],[VEM/kg de MS]]*1000</f>
        <v>0</v>
      </c>
      <c r="K27" s="441"/>
      <c r="L27" s="462">
        <f>Tableau1[[#This Row],[g de DVE/kg de MS]]*Tableau1[[#This Row],[T de MS]]</f>
        <v>0</v>
      </c>
    </row>
    <row r="28" spans="2:12" ht="16.2" thickBot="1" x14ac:dyDescent="0.35">
      <c r="B28" s="48"/>
      <c r="C28" s="89"/>
      <c r="D28" s="89"/>
      <c r="E28" s="49"/>
      <c r="F28" s="60">
        <f t="shared" si="3"/>
        <v>0</v>
      </c>
      <c r="G28" s="61"/>
      <c r="H28" s="52">
        <f t="shared" si="2"/>
        <v>0</v>
      </c>
      <c r="I28" s="454"/>
      <c r="J28" s="460">
        <f>Tableau1[[#This Row],[T de MS]]*Tableau1[[#This Row],[VEM/kg de MS]]*1000</f>
        <v>0</v>
      </c>
      <c r="K28" s="444"/>
      <c r="L28" s="462">
        <f>Tableau1[[#This Row],[g de DVE/kg de MS]]*Tableau1[[#This Row],[T de MS]]</f>
        <v>0</v>
      </c>
    </row>
    <row r="29" spans="2:12" ht="16.2" thickBot="1" x14ac:dyDescent="0.35">
      <c r="B29" s="69" t="s">
        <v>7</v>
      </c>
      <c r="C29" s="482" t="s">
        <v>11</v>
      </c>
      <c r="D29" s="90"/>
      <c r="E29" s="62"/>
      <c r="F29" s="70">
        <f>$D$29*$E29</f>
        <v>0</v>
      </c>
      <c r="G29" s="57"/>
      <c r="H29" s="44">
        <f t="shared" si="2"/>
        <v>0</v>
      </c>
      <c r="I29" s="455"/>
      <c r="J29" s="460">
        <f>Tableau1[[#This Row],[T de MS]]*Tableau1[[#This Row],[VEM/kg de MS]]*1000</f>
        <v>0</v>
      </c>
      <c r="K29" s="445"/>
      <c r="L29" s="462">
        <f>Tableau1[[#This Row],[g de DVE/kg de MS]]*Tableau1[[#This Row],[T de MS]]</f>
        <v>0</v>
      </c>
    </row>
    <row r="30" spans="2:12" ht="16.2" thickBot="1" x14ac:dyDescent="0.35">
      <c r="B30" s="31"/>
      <c r="C30" s="483" t="s">
        <v>12</v>
      </c>
      <c r="D30" s="474" t="str">
        <f>IF(D29="","",D29)</f>
        <v/>
      </c>
      <c r="E30" s="71"/>
      <c r="F30" s="35">
        <f t="shared" ref="F30:F33" si="4">$D$29*$E30</f>
        <v>0</v>
      </c>
      <c r="G30" s="34"/>
      <c r="H30" s="47">
        <f t="shared" si="2"/>
        <v>0</v>
      </c>
      <c r="I30" s="453"/>
      <c r="J30" s="460">
        <f>Tableau1[[#This Row],[T de MS]]*Tableau1[[#This Row],[VEM/kg de MS]]*1000</f>
        <v>0</v>
      </c>
      <c r="K30" s="441"/>
      <c r="L30" s="462">
        <f>Tableau1[[#This Row],[g de DVE/kg de MS]]*Tableau1[[#This Row],[T de MS]]</f>
        <v>0</v>
      </c>
    </row>
    <row r="31" spans="2:12" ht="16.2" thickBot="1" x14ac:dyDescent="0.35">
      <c r="B31" s="31"/>
      <c r="C31" s="483" t="s">
        <v>13</v>
      </c>
      <c r="D31" s="474" t="str">
        <f t="shared" ref="D31:D33" si="5">D30</f>
        <v/>
      </c>
      <c r="E31" s="71"/>
      <c r="F31" s="35">
        <f t="shared" si="4"/>
        <v>0</v>
      </c>
      <c r="G31" s="34"/>
      <c r="H31" s="47">
        <f t="shared" si="2"/>
        <v>0</v>
      </c>
      <c r="I31" s="453"/>
      <c r="J31" s="460">
        <f>Tableau1[[#This Row],[T de MS]]*Tableau1[[#This Row],[VEM/kg de MS]]*1000</f>
        <v>0</v>
      </c>
      <c r="K31" s="441"/>
      <c r="L31" s="462">
        <f>Tableau1[[#This Row],[g de DVE/kg de MS]]*Tableau1[[#This Row],[T de MS]]</f>
        <v>0</v>
      </c>
    </row>
    <row r="32" spans="2:12" ht="16.2" thickBot="1" x14ac:dyDescent="0.35">
      <c r="B32" s="31"/>
      <c r="C32" s="483" t="s">
        <v>14</v>
      </c>
      <c r="D32" s="474" t="str">
        <f t="shared" si="5"/>
        <v/>
      </c>
      <c r="E32" s="71"/>
      <c r="F32" s="35">
        <f t="shared" si="4"/>
        <v>0</v>
      </c>
      <c r="G32" s="34"/>
      <c r="H32" s="47">
        <f t="shared" si="2"/>
        <v>0</v>
      </c>
      <c r="I32" s="453"/>
      <c r="J32" s="460">
        <f>Tableau1[[#This Row],[T de MS]]*Tableau1[[#This Row],[VEM/kg de MS]]*1000</f>
        <v>0</v>
      </c>
      <c r="K32" s="441"/>
      <c r="L32" s="462">
        <f>Tableau1[[#This Row],[g de DVE/kg de MS]]*Tableau1[[#This Row],[T de MS]]</f>
        <v>0</v>
      </c>
    </row>
    <row r="33" spans="2:12" ht="16.2" thickBot="1" x14ac:dyDescent="0.35">
      <c r="B33" s="48"/>
      <c r="C33" s="484" t="s">
        <v>15</v>
      </c>
      <c r="D33" s="474" t="str">
        <f t="shared" si="5"/>
        <v/>
      </c>
      <c r="E33" s="64"/>
      <c r="F33" s="72">
        <f t="shared" si="4"/>
        <v>0</v>
      </c>
      <c r="G33" s="51"/>
      <c r="H33" s="52">
        <f t="shared" si="2"/>
        <v>0</v>
      </c>
      <c r="I33" s="454"/>
      <c r="J33" s="460">
        <f>Tableau1[[#This Row],[T de MS]]*Tableau1[[#This Row],[VEM/kg de MS]]*1000</f>
        <v>0</v>
      </c>
      <c r="K33" s="444"/>
      <c r="L33" s="462">
        <f>Tableau1[[#This Row],[g de DVE/kg de MS]]*Tableau1[[#This Row],[T de MS]]</f>
        <v>0</v>
      </c>
    </row>
    <row r="34" spans="2:12" ht="16.2" thickBot="1" x14ac:dyDescent="0.35">
      <c r="B34" s="53" t="s">
        <v>8</v>
      </c>
      <c r="C34" s="485" t="s">
        <v>11</v>
      </c>
      <c r="D34" s="91"/>
      <c r="E34" s="73"/>
      <c r="F34" s="30">
        <f>$D$34*$E34</f>
        <v>0</v>
      </c>
      <c r="G34" s="43"/>
      <c r="H34" s="54">
        <f t="shared" si="2"/>
        <v>0</v>
      </c>
      <c r="I34" s="452"/>
      <c r="J34" s="460">
        <f>Tableau1[[#This Row],[T de MS]]*Tableau1[[#This Row],[VEM/kg de MS]]*1000</f>
        <v>0</v>
      </c>
      <c r="K34" s="443"/>
      <c r="L34" s="462">
        <f>Tableau1[[#This Row],[g de DVE/kg de MS]]*Tableau1[[#This Row],[T de MS]]</f>
        <v>0</v>
      </c>
    </row>
    <row r="35" spans="2:12" ht="16.2" thickBot="1" x14ac:dyDescent="0.35">
      <c r="B35" s="31"/>
      <c r="C35" s="483" t="s">
        <v>12</v>
      </c>
      <c r="D35" s="475" t="str">
        <f>IF(D34="","",D34)</f>
        <v/>
      </c>
      <c r="E35" s="71"/>
      <c r="F35" s="35">
        <f>$D$34*$E35</f>
        <v>0</v>
      </c>
      <c r="G35" s="34"/>
      <c r="H35" s="47">
        <f t="shared" si="2"/>
        <v>0</v>
      </c>
      <c r="I35" s="453"/>
      <c r="J35" s="460">
        <f>Tableau1[[#This Row],[T de MS]]*Tableau1[[#This Row],[VEM/kg de MS]]*1000</f>
        <v>0</v>
      </c>
      <c r="K35" s="441"/>
      <c r="L35" s="462">
        <f>Tableau1[[#This Row],[g de DVE/kg de MS]]*Tableau1[[#This Row],[T de MS]]</f>
        <v>0</v>
      </c>
    </row>
    <row r="36" spans="2:12" ht="16.2" thickBot="1" x14ac:dyDescent="0.35">
      <c r="B36" s="31"/>
      <c r="C36" s="483" t="s">
        <v>13</v>
      </c>
      <c r="D36" s="475" t="str">
        <f t="shared" ref="D36:D38" si="6">IF(D35="","",D35)</f>
        <v/>
      </c>
      <c r="E36" s="71"/>
      <c r="F36" s="35">
        <f t="shared" ref="F36:F38" si="7">$D$34*$E36</f>
        <v>0</v>
      </c>
      <c r="G36" s="34"/>
      <c r="H36" s="47">
        <f t="shared" si="2"/>
        <v>0</v>
      </c>
      <c r="I36" s="453"/>
      <c r="J36" s="460">
        <f>Tableau1[[#This Row],[T de MS]]*Tableau1[[#This Row],[VEM/kg de MS]]*1000</f>
        <v>0</v>
      </c>
      <c r="K36" s="441"/>
      <c r="L36" s="462">
        <f>Tableau1[[#This Row],[g de DVE/kg de MS]]*Tableau1[[#This Row],[T de MS]]</f>
        <v>0</v>
      </c>
    </row>
    <row r="37" spans="2:12" ht="16.2" thickBot="1" x14ac:dyDescent="0.35">
      <c r="B37" s="31"/>
      <c r="C37" s="483" t="s">
        <v>14</v>
      </c>
      <c r="D37" s="475" t="str">
        <f t="shared" si="6"/>
        <v/>
      </c>
      <c r="E37" s="71"/>
      <c r="F37" s="35">
        <f t="shared" si="7"/>
        <v>0</v>
      </c>
      <c r="G37" s="34"/>
      <c r="H37" s="47">
        <f t="shared" si="2"/>
        <v>0</v>
      </c>
      <c r="I37" s="453"/>
      <c r="J37" s="460">
        <f>Tableau1[[#This Row],[T de MS]]*Tableau1[[#This Row],[VEM/kg de MS]]*1000</f>
        <v>0</v>
      </c>
      <c r="K37" s="441"/>
      <c r="L37" s="462">
        <f>Tableau1[[#This Row],[g de DVE/kg de MS]]*Tableau1[[#This Row],[T de MS]]</f>
        <v>0</v>
      </c>
    </row>
    <row r="38" spans="2:12" ht="16.2" thickBot="1" x14ac:dyDescent="0.35">
      <c r="B38" s="48"/>
      <c r="C38" s="484" t="s">
        <v>15</v>
      </c>
      <c r="D38" s="475" t="str">
        <f t="shared" si="6"/>
        <v/>
      </c>
      <c r="E38" s="64"/>
      <c r="F38" s="72">
        <f t="shared" si="7"/>
        <v>0</v>
      </c>
      <c r="G38" s="51"/>
      <c r="H38" s="52">
        <f t="shared" si="2"/>
        <v>0</v>
      </c>
      <c r="I38" s="454"/>
      <c r="J38" s="460">
        <f>Tableau1[[#This Row],[T de MS]]*Tableau1[[#This Row],[VEM/kg de MS]]*1000</f>
        <v>0</v>
      </c>
      <c r="K38" s="444"/>
      <c r="L38" s="462">
        <f>Tableau1[[#This Row],[g de DVE/kg de MS]]*Tableau1[[#This Row],[T de MS]]</f>
        <v>0</v>
      </c>
    </row>
    <row r="39" spans="2:12" ht="16.2" thickBot="1" x14ac:dyDescent="0.35">
      <c r="B39" s="53" t="s">
        <v>16</v>
      </c>
      <c r="C39" s="485" t="s">
        <v>11</v>
      </c>
      <c r="D39" s="91"/>
      <c r="E39" s="73"/>
      <c r="F39" s="30">
        <f>$D$39*$E39</f>
        <v>0</v>
      </c>
      <c r="G39" s="43"/>
      <c r="H39" s="54">
        <f t="shared" si="2"/>
        <v>0</v>
      </c>
      <c r="I39" s="452"/>
      <c r="J39" s="460">
        <f>Tableau1[[#This Row],[T de MS]]*Tableau1[[#This Row],[VEM/kg de MS]]*1000</f>
        <v>0</v>
      </c>
      <c r="K39" s="443"/>
      <c r="L39" s="462">
        <f>Tableau1[[#This Row],[g de DVE/kg de MS]]*Tableau1[[#This Row],[T de MS]]</f>
        <v>0</v>
      </c>
    </row>
    <row r="40" spans="2:12" ht="16.2" thickBot="1" x14ac:dyDescent="0.35">
      <c r="B40" s="31"/>
      <c r="C40" s="483" t="s">
        <v>12</v>
      </c>
      <c r="D40" s="475" t="str">
        <f>IF(D39="","",D39)</f>
        <v/>
      </c>
      <c r="E40" s="71"/>
      <c r="F40" s="35">
        <f>$D$39*$E40</f>
        <v>0</v>
      </c>
      <c r="G40" s="34"/>
      <c r="H40" s="47">
        <f t="shared" si="2"/>
        <v>0</v>
      </c>
      <c r="I40" s="453"/>
      <c r="J40" s="460">
        <f>Tableau1[[#This Row],[T de MS]]*Tableau1[[#This Row],[VEM/kg de MS]]*1000</f>
        <v>0</v>
      </c>
      <c r="K40" s="441"/>
      <c r="L40" s="462">
        <f>Tableau1[[#This Row],[g de DVE/kg de MS]]*Tableau1[[#This Row],[T de MS]]</f>
        <v>0</v>
      </c>
    </row>
    <row r="41" spans="2:12" ht="16.2" thickBot="1" x14ac:dyDescent="0.35">
      <c r="B41" s="31"/>
      <c r="C41" s="483" t="s">
        <v>13</v>
      </c>
      <c r="D41" s="475" t="str">
        <f t="shared" ref="D41:D43" si="8">IF(D40="","",D40)</f>
        <v/>
      </c>
      <c r="E41" s="71"/>
      <c r="F41" s="35">
        <f>$D$39*$E41</f>
        <v>0</v>
      </c>
      <c r="G41" s="34"/>
      <c r="H41" s="47">
        <f t="shared" si="2"/>
        <v>0</v>
      </c>
      <c r="I41" s="453"/>
      <c r="J41" s="460">
        <f>Tableau1[[#This Row],[T de MS]]*Tableau1[[#This Row],[VEM/kg de MS]]*1000</f>
        <v>0</v>
      </c>
      <c r="K41" s="441"/>
      <c r="L41" s="462">
        <f>Tableau1[[#This Row],[g de DVE/kg de MS]]*Tableau1[[#This Row],[T de MS]]</f>
        <v>0</v>
      </c>
    </row>
    <row r="42" spans="2:12" ht="16.2" thickBot="1" x14ac:dyDescent="0.35">
      <c r="B42" s="31"/>
      <c r="C42" s="483" t="s">
        <v>14</v>
      </c>
      <c r="D42" s="475" t="str">
        <f t="shared" si="8"/>
        <v/>
      </c>
      <c r="E42" s="71"/>
      <c r="F42" s="35">
        <f>$D$39*$E42</f>
        <v>0</v>
      </c>
      <c r="G42" s="34"/>
      <c r="H42" s="47">
        <f t="shared" si="2"/>
        <v>0</v>
      </c>
      <c r="I42" s="453"/>
      <c r="J42" s="460">
        <f>Tableau1[[#This Row],[T de MS]]*Tableau1[[#This Row],[VEM/kg de MS]]*1000</f>
        <v>0</v>
      </c>
      <c r="K42" s="441"/>
      <c r="L42" s="462">
        <f>Tableau1[[#This Row],[g de DVE/kg de MS]]*Tableau1[[#This Row],[T de MS]]</f>
        <v>0</v>
      </c>
    </row>
    <row r="43" spans="2:12" ht="16.2" thickBot="1" x14ac:dyDescent="0.35">
      <c r="B43" s="48"/>
      <c r="C43" s="484" t="s">
        <v>15</v>
      </c>
      <c r="D43" s="475" t="str">
        <f t="shared" si="8"/>
        <v/>
      </c>
      <c r="E43" s="64"/>
      <c r="F43" s="72">
        <f>$D$39*$E43</f>
        <v>0</v>
      </c>
      <c r="G43" s="51"/>
      <c r="H43" s="52">
        <f t="shared" si="2"/>
        <v>0</v>
      </c>
      <c r="I43" s="454"/>
      <c r="J43" s="460">
        <f>Tableau1[[#This Row],[T de MS]]*Tableau1[[#This Row],[VEM/kg de MS]]*1000</f>
        <v>0</v>
      </c>
      <c r="K43" s="444"/>
      <c r="L43" s="462">
        <f>Tableau1[[#This Row],[g de DVE/kg de MS]]*Tableau1[[#This Row],[T de MS]]</f>
        <v>0</v>
      </c>
    </row>
    <row r="44" spans="2:12" ht="16.2" thickBot="1" x14ac:dyDescent="0.35">
      <c r="B44" s="53" t="s">
        <v>9</v>
      </c>
      <c r="C44" s="485" t="s">
        <v>11</v>
      </c>
      <c r="D44" s="91"/>
      <c r="E44" s="73"/>
      <c r="F44" s="30">
        <f>$D$44*$E44</f>
        <v>0</v>
      </c>
      <c r="G44" s="43"/>
      <c r="H44" s="54">
        <f t="shared" si="2"/>
        <v>0</v>
      </c>
      <c r="I44" s="452"/>
      <c r="J44" s="460">
        <f>Tableau1[[#This Row],[T de MS]]*Tableau1[[#This Row],[VEM/kg de MS]]*1000</f>
        <v>0</v>
      </c>
      <c r="K44" s="443"/>
      <c r="L44" s="462">
        <f>Tableau1[[#This Row],[g de DVE/kg de MS]]*Tableau1[[#This Row],[T de MS]]</f>
        <v>0</v>
      </c>
    </row>
    <row r="45" spans="2:12" ht="16.2" thickBot="1" x14ac:dyDescent="0.35">
      <c r="B45" s="31"/>
      <c r="C45" s="483" t="s">
        <v>12</v>
      </c>
      <c r="D45" s="475" t="str">
        <f>IF(D44="","",D44)</f>
        <v/>
      </c>
      <c r="E45" s="71"/>
      <c r="F45" s="35">
        <f t="shared" ref="F45:F48" si="9">$D$44*$E45</f>
        <v>0</v>
      </c>
      <c r="G45" s="34"/>
      <c r="H45" s="47">
        <f t="shared" si="2"/>
        <v>0</v>
      </c>
      <c r="I45" s="453"/>
      <c r="J45" s="460">
        <f>Tableau1[[#This Row],[T de MS]]*Tableau1[[#This Row],[VEM/kg de MS]]*1000</f>
        <v>0</v>
      </c>
      <c r="K45" s="441"/>
      <c r="L45" s="462">
        <f>Tableau1[[#This Row],[g de DVE/kg de MS]]*Tableau1[[#This Row],[T de MS]]</f>
        <v>0</v>
      </c>
    </row>
    <row r="46" spans="2:12" ht="16.2" thickBot="1" x14ac:dyDescent="0.35">
      <c r="B46" s="31"/>
      <c r="C46" s="483" t="s">
        <v>13</v>
      </c>
      <c r="D46" s="475" t="str">
        <f t="shared" ref="D46:D48" si="10">IF(D45="","",D45)</f>
        <v/>
      </c>
      <c r="E46" s="71"/>
      <c r="F46" s="35">
        <f t="shared" si="9"/>
        <v>0</v>
      </c>
      <c r="G46" s="34"/>
      <c r="H46" s="47">
        <f t="shared" si="2"/>
        <v>0</v>
      </c>
      <c r="I46" s="453"/>
      <c r="J46" s="460">
        <f>Tableau1[[#This Row],[T de MS]]*Tableau1[[#This Row],[VEM/kg de MS]]*1000</f>
        <v>0</v>
      </c>
      <c r="K46" s="441"/>
      <c r="L46" s="462">
        <f>Tableau1[[#This Row],[g de DVE/kg de MS]]*Tableau1[[#This Row],[T de MS]]</f>
        <v>0</v>
      </c>
    </row>
    <row r="47" spans="2:12" ht="16.2" thickBot="1" x14ac:dyDescent="0.35">
      <c r="B47" s="31"/>
      <c r="C47" s="483" t="s">
        <v>14</v>
      </c>
      <c r="D47" s="475" t="str">
        <f t="shared" si="10"/>
        <v/>
      </c>
      <c r="E47" s="71"/>
      <c r="F47" s="35">
        <f t="shared" si="9"/>
        <v>0</v>
      </c>
      <c r="G47" s="34"/>
      <c r="H47" s="47">
        <f t="shared" si="2"/>
        <v>0</v>
      </c>
      <c r="I47" s="453"/>
      <c r="J47" s="460">
        <f>Tableau1[[#This Row],[T de MS]]*Tableau1[[#This Row],[VEM/kg de MS]]*1000</f>
        <v>0</v>
      </c>
      <c r="K47" s="441"/>
      <c r="L47" s="462">
        <f>Tableau1[[#This Row],[g de DVE/kg de MS]]*Tableau1[[#This Row],[T de MS]]</f>
        <v>0</v>
      </c>
    </row>
    <row r="48" spans="2:12" ht="16.2" thickBot="1" x14ac:dyDescent="0.35">
      <c r="B48" s="48"/>
      <c r="C48" s="484" t="s">
        <v>15</v>
      </c>
      <c r="D48" s="475" t="str">
        <f t="shared" si="10"/>
        <v/>
      </c>
      <c r="E48" s="64"/>
      <c r="F48" s="72">
        <f t="shared" si="9"/>
        <v>0</v>
      </c>
      <c r="G48" s="51"/>
      <c r="H48" s="52">
        <f t="shared" si="2"/>
        <v>0</v>
      </c>
      <c r="I48" s="454"/>
      <c r="J48" s="460">
        <f>Tableau1[[#This Row],[T de MS]]*Tableau1[[#This Row],[VEM/kg de MS]]*1000</f>
        <v>0</v>
      </c>
      <c r="K48" s="444"/>
      <c r="L48" s="462">
        <f>Tableau1[[#This Row],[g de DVE/kg de MS]]*Tableau1[[#This Row],[T de MS]]</f>
        <v>0</v>
      </c>
    </row>
    <row r="49" spans="2:12" ht="16.2" thickBot="1" x14ac:dyDescent="0.35">
      <c r="B49" s="53" t="s">
        <v>10</v>
      </c>
      <c r="C49" s="485" t="s">
        <v>11</v>
      </c>
      <c r="D49" s="91"/>
      <c r="E49" s="73"/>
      <c r="F49" s="30">
        <f>$D$49*$E49</f>
        <v>0</v>
      </c>
      <c r="G49" s="43"/>
      <c r="H49" s="54">
        <f t="shared" si="2"/>
        <v>0</v>
      </c>
      <c r="I49" s="452"/>
      <c r="J49" s="460">
        <f>Tableau1[[#This Row],[T de MS]]*Tableau1[[#This Row],[VEM/kg de MS]]*1000</f>
        <v>0</v>
      </c>
      <c r="K49" s="443"/>
      <c r="L49" s="462">
        <f>Tableau1[[#This Row],[g de DVE/kg de MS]]*Tableau1[[#This Row],[T de MS]]</f>
        <v>0</v>
      </c>
    </row>
    <row r="50" spans="2:12" ht="16.2" thickBot="1" x14ac:dyDescent="0.35">
      <c r="B50" s="31"/>
      <c r="C50" s="483" t="s">
        <v>12</v>
      </c>
      <c r="D50" s="475" t="str">
        <f>IF(D49="","",D49)</f>
        <v/>
      </c>
      <c r="E50" s="71"/>
      <c r="F50" s="35">
        <f t="shared" ref="F50:F53" si="11">$D$49*$E50</f>
        <v>0</v>
      </c>
      <c r="G50" s="34"/>
      <c r="H50" s="47">
        <f t="shared" si="2"/>
        <v>0</v>
      </c>
      <c r="I50" s="453"/>
      <c r="J50" s="460">
        <f>Tableau1[[#This Row],[T de MS]]*Tableau1[[#This Row],[VEM/kg de MS]]*1000</f>
        <v>0</v>
      </c>
      <c r="K50" s="441"/>
      <c r="L50" s="462">
        <f>Tableau1[[#This Row],[g de DVE/kg de MS]]*Tableau1[[#This Row],[T de MS]]</f>
        <v>0</v>
      </c>
    </row>
    <row r="51" spans="2:12" ht="16.2" thickBot="1" x14ac:dyDescent="0.35">
      <c r="B51" s="31"/>
      <c r="C51" s="483" t="s">
        <v>13</v>
      </c>
      <c r="D51" s="475" t="str">
        <f t="shared" ref="D51:D53" si="12">IF(D50="","",D50)</f>
        <v/>
      </c>
      <c r="E51" s="71"/>
      <c r="F51" s="35">
        <f t="shared" si="11"/>
        <v>0</v>
      </c>
      <c r="G51" s="34"/>
      <c r="H51" s="47">
        <f t="shared" si="2"/>
        <v>0</v>
      </c>
      <c r="I51" s="453"/>
      <c r="J51" s="460">
        <f>Tableau1[[#This Row],[T de MS]]*Tableau1[[#This Row],[VEM/kg de MS]]*1000</f>
        <v>0</v>
      </c>
      <c r="K51" s="441"/>
      <c r="L51" s="462">
        <f>Tableau1[[#This Row],[g de DVE/kg de MS]]*Tableau1[[#This Row],[T de MS]]</f>
        <v>0</v>
      </c>
    </row>
    <row r="52" spans="2:12" s="5" customFormat="1" ht="16.2" thickBot="1" x14ac:dyDescent="0.35">
      <c r="B52" s="31"/>
      <c r="C52" s="483" t="s">
        <v>14</v>
      </c>
      <c r="D52" s="475" t="str">
        <f t="shared" si="12"/>
        <v/>
      </c>
      <c r="E52" s="71"/>
      <c r="F52" s="35">
        <f t="shared" si="11"/>
        <v>0</v>
      </c>
      <c r="G52" s="34"/>
      <c r="H52" s="47">
        <f t="shared" si="2"/>
        <v>0</v>
      </c>
      <c r="I52" s="453"/>
      <c r="J52" s="460">
        <f>Tableau1[[#This Row],[T de MS]]*Tableau1[[#This Row],[VEM/kg de MS]]*1000</f>
        <v>0</v>
      </c>
      <c r="K52" s="441"/>
      <c r="L52" s="462">
        <f>Tableau1[[#This Row],[g de DVE/kg de MS]]*Tableau1[[#This Row],[T de MS]]</f>
        <v>0</v>
      </c>
    </row>
    <row r="53" spans="2:12" s="5" customFormat="1" ht="16.2" thickBot="1" x14ac:dyDescent="0.35">
      <c r="B53" s="74"/>
      <c r="C53" s="486" t="s">
        <v>15</v>
      </c>
      <c r="D53" s="475" t="str">
        <f t="shared" si="12"/>
        <v/>
      </c>
      <c r="E53" s="64"/>
      <c r="F53" s="39">
        <f t="shared" si="11"/>
        <v>0</v>
      </c>
      <c r="G53" s="51"/>
      <c r="H53" s="52">
        <f t="shared" si="2"/>
        <v>0</v>
      </c>
      <c r="I53" s="454"/>
      <c r="J53" s="460">
        <f>Tableau1[[#This Row],[T de MS]]*Tableau1[[#This Row],[VEM/kg de MS]]*1000</f>
        <v>0</v>
      </c>
      <c r="K53" s="444"/>
      <c r="L53" s="462">
        <f>Tableau1[[#This Row],[g de DVE/kg de MS]]*Tableau1[[#This Row],[T de MS]]</f>
        <v>0</v>
      </c>
    </row>
    <row r="54" spans="2:12" ht="16.2" thickBot="1" x14ac:dyDescent="0.35">
      <c r="B54" s="53" t="s">
        <v>121</v>
      </c>
      <c r="C54" s="485" t="s">
        <v>11</v>
      </c>
      <c r="D54" s="91"/>
      <c r="E54" s="73"/>
      <c r="F54" s="75">
        <f>$D$54*$E54</f>
        <v>0</v>
      </c>
      <c r="G54" s="43"/>
      <c r="H54" s="54">
        <f t="shared" si="2"/>
        <v>0</v>
      </c>
      <c r="I54" s="452"/>
      <c r="J54" s="460">
        <f>Tableau1[[#This Row],[T de MS]]*Tableau1[[#This Row],[VEM/kg de MS]]*1000</f>
        <v>0</v>
      </c>
      <c r="K54" s="443"/>
      <c r="L54" s="462">
        <f>Tableau1[[#This Row],[g de DVE/kg de MS]]*Tableau1[[#This Row],[T de MS]]</f>
        <v>0</v>
      </c>
    </row>
    <row r="55" spans="2:12" ht="16.2" thickBot="1" x14ac:dyDescent="0.35">
      <c r="B55" s="31"/>
      <c r="C55" s="483" t="s">
        <v>12</v>
      </c>
      <c r="D55" s="475" t="str">
        <f>IF(D54="","",D54)</f>
        <v/>
      </c>
      <c r="E55" s="71"/>
      <c r="F55" s="35">
        <f t="shared" ref="F55:F58" si="13">$D$54*$E55</f>
        <v>0</v>
      </c>
      <c r="G55" s="34"/>
      <c r="H55" s="47">
        <f t="shared" si="2"/>
        <v>0</v>
      </c>
      <c r="I55" s="453"/>
      <c r="J55" s="460">
        <f>Tableau1[[#This Row],[T de MS]]*Tableau1[[#This Row],[VEM/kg de MS]]*1000</f>
        <v>0</v>
      </c>
      <c r="K55" s="441"/>
      <c r="L55" s="462">
        <f>Tableau1[[#This Row],[g de DVE/kg de MS]]*Tableau1[[#This Row],[T de MS]]</f>
        <v>0</v>
      </c>
    </row>
    <row r="56" spans="2:12" ht="16.2" thickBot="1" x14ac:dyDescent="0.35">
      <c r="B56" s="31"/>
      <c r="C56" s="483" t="s">
        <v>13</v>
      </c>
      <c r="D56" s="475" t="str">
        <f t="shared" ref="D56:D58" si="14">IF(D55="","",D55)</f>
        <v/>
      </c>
      <c r="E56" s="71"/>
      <c r="F56" s="35">
        <f t="shared" si="13"/>
        <v>0</v>
      </c>
      <c r="G56" s="34"/>
      <c r="H56" s="47">
        <f t="shared" si="2"/>
        <v>0</v>
      </c>
      <c r="I56" s="453"/>
      <c r="J56" s="460">
        <f>Tableau1[[#This Row],[T de MS]]*Tableau1[[#This Row],[VEM/kg de MS]]*1000</f>
        <v>0</v>
      </c>
      <c r="K56" s="441"/>
      <c r="L56" s="462">
        <f>Tableau1[[#This Row],[g de DVE/kg de MS]]*Tableau1[[#This Row],[T de MS]]</f>
        <v>0</v>
      </c>
    </row>
    <row r="57" spans="2:12" s="5" customFormat="1" ht="16.2" thickBot="1" x14ac:dyDescent="0.35">
      <c r="B57" s="31"/>
      <c r="C57" s="483" t="s">
        <v>14</v>
      </c>
      <c r="D57" s="475" t="str">
        <f t="shared" si="14"/>
        <v/>
      </c>
      <c r="E57" s="71"/>
      <c r="F57" s="35">
        <f t="shared" si="13"/>
        <v>0</v>
      </c>
      <c r="G57" s="34"/>
      <c r="H57" s="47">
        <f t="shared" si="2"/>
        <v>0</v>
      </c>
      <c r="I57" s="453"/>
      <c r="J57" s="460">
        <f>Tableau1[[#This Row],[T de MS]]*Tableau1[[#This Row],[VEM/kg de MS]]*1000</f>
        <v>0</v>
      </c>
      <c r="K57" s="441"/>
      <c r="L57" s="462">
        <f>Tableau1[[#This Row],[g de DVE/kg de MS]]*Tableau1[[#This Row],[T de MS]]</f>
        <v>0</v>
      </c>
    </row>
    <row r="58" spans="2:12" s="5" customFormat="1" ht="16.2" thickBot="1" x14ac:dyDescent="0.35">
      <c r="B58" s="48"/>
      <c r="C58" s="484" t="s">
        <v>15</v>
      </c>
      <c r="D58" s="475" t="str">
        <f t="shared" si="14"/>
        <v/>
      </c>
      <c r="E58" s="64"/>
      <c r="F58" s="76">
        <f t="shared" si="13"/>
        <v>0</v>
      </c>
      <c r="G58" s="51"/>
      <c r="H58" s="52">
        <f t="shared" si="2"/>
        <v>0</v>
      </c>
      <c r="I58" s="454"/>
      <c r="J58" s="460">
        <f>Tableau1[[#This Row],[T de MS]]*Tableau1[[#This Row],[VEM/kg de MS]]*1000</f>
        <v>0</v>
      </c>
      <c r="K58" s="444"/>
      <c r="L58" s="462">
        <f>Tableau1[[#This Row],[g de DVE/kg de MS]]*Tableau1[[#This Row],[T de MS]]</f>
        <v>0</v>
      </c>
    </row>
    <row r="59" spans="2:12" s="5" customFormat="1" ht="16.2" thickBot="1" x14ac:dyDescent="0.35">
      <c r="B59" s="53" t="s">
        <v>122</v>
      </c>
      <c r="C59" s="485" t="s">
        <v>11</v>
      </c>
      <c r="D59" s="91"/>
      <c r="E59" s="73"/>
      <c r="F59" s="75">
        <f>$D$59*$E59</f>
        <v>0</v>
      </c>
      <c r="G59" s="43"/>
      <c r="H59" s="54">
        <f t="shared" si="2"/>
        <v>0</v>
      </c>
      <c r="I59" s="452"/>
      <c r="J59" s="460">
        <f>Tableau1[[#This Row],[T de MS]]*Tableau1[[#This Row],[VEM/kg de MS]]*1000</f>
        <v>0</v>
      </c>
      <c r="K59" s="443"/>
      <c r="L59" s="462">
        <f>Tableau1[[#This Row],[g de DVE/kg de MS]]*Tableau1[[#This Row],[T de MS]]</f>
        <v>0</v>
      </c>
    </row>
    <row r="60" spans="2:12" s="5" customFormat="1" ht="16.2" thickBot="1" x14ac:dyDescent="0.35">
      <c r="B60" s="31"/>
      <c r="C60" s="483" t="s">
        <v>12</v>
      </c>
      <c r="D60" s="475" t="str">
        <f>IF(D59="","",D59)</f>
        <v/>
      </c>
      <c r="E60" s="71"/>
      <c r="F60" s="35">
        <f t="shared" ref="F60:F63" si="15">$D$59*$E60</f>
        <v>0</v>
      </c>
      <c r="G60" s="34"/>
      <c r="H60" s="47">
        <f t="shared" si="2"/>
        <v>0</v>
      </c>
      <c r="I60" s="453"/>
      <c r="J60" s="460">
        <f>Tableau1[[#This Row],[T de MS]]*Tableau1[[#This Row],[VEM/kg de MS]]*1000</f>
        <v>0</v>
      </c>
      <c r="K60" s="441"/>
      <c r="L60" s="462">
        <f>Tableau1[[#This Row],[g de DVE/kg de MS]]*Tableau1[[#This Row],[T de MS]]</f>
        <v>0</v>
      </c>
    </row>
    <row r="61" spans="2:12" s="5" customFormat="1" ht="16.2" thickBot="1" x14ac:dyDescent="0.35">
      <c r="B61" s="31"/>
      <c r="C61" s="483" t="s">
        <v>13</v>
      </c>
      <c r="D61" s="475" t="str">
        <f t="shared" ref="D61:D63" si="16">IF(D60="","",D60)</f>
        <v/>
      </c>
      <c r="E61" s="71"/>
      <c r="F61" s="35">
        <f t="shared" si="15"/>
        <v>0</v>
      </c>
      <c r="G61" s="34"/>
      <c r="H61" s="47">
        <f t="shared" si="2"/>
        <v>0</v>
      </c>
      <c r="I61" s="453"/>
      <c r="J61" s="460">
        <f>Tableau1[[#This Row],[T de MS]]*Tableau1[[#This Row],[VEM/kg de MS]]*1000</f>
        <v>0</v>
      </c>
      <c r="K61" s="441"/>
      <c r="L61" s="462">
        <f>Tableau1[[#This Row],[g de DVE/kg de MS]]*Tableau1[[#This Row],[T de MS]]</f>
        <v>0</v>
      </c>
    </row>
    <row r="62" spans="2:12" s="5" customFormat="1" ht="16.2" thickBot="1" x14ac:dyDescent="0.35">
      <c r="B62" s="31"/>
      <c r="C62" s="483" t="s">
        <v>14</v>
      </c>
      <c r="D62" s="475" t="str">
        <f t="shared" si="16"/>
        <v/>
      </c>
      <c r="E62" s="71"/>
      <c r="F62" s="35">
        <f t="shared" si="15"/>
        <v>0</v>
      </c>
      <c r="G62" s="34"/>
      <c r="H62" s="47">
        <f t="shared" si="2"/>
        <v>0</v>
      </c>
      <c r="I62" s="453"/>
      <c r="J62" s="460">
        <f>Tableau1[[#This Row],[T de MS]]*Tableau1[[#This Row],[VEM/kg de MS]]*1000</f>
        <v>0</v>
      </c>
      <c r="K62" s="441"/>
      <c r="L62" s="462">
        <f>Tableau1[[#This Row],[g de DVE/kg de MS]]*Tableau1[[#This Row],[T de MS]]</f>
        <v>0</v>
      </c>
    </row>
    <row r="63" spans="2:12" s="5" customFormat="1" ht="16.2" thickBot="1" x14ac:dyDescent="0.35">
      <c r="B63" s="48"/>
      <c r="C63" s="484" t="s">
        <v>15</v>
      </c>
      <c r="D63" s="475" t="str">
        <f t="shared" si="16"/>
        <v/>
      </c>
      <c r="E63" s="64"/>
      <c r="F63" s="76">
        <f t="shared" si="15"/>
        <v>0</v>
      </c>
      <c r="G63" s="51"/>
      <c r="H63" s="52">
        <f t="shared" si="2"/>
        <v>0</v>
      </c>
      <c r="I63" s="454"/>
      <c r="J63" s="460">
        <f>Tableau1[[#This Row],[T de MS]]*Tableau1[[#This Row],[VEM/kg de MS]]*1000</f>
        <v>0</v>
      </c>
      <c r="K63" s="444"/>
      <c r="L63" s="462">
        <f>Tableau1[[#This Row],[g de DVE/kg de MS]]*Tableau1[[#This Row],[T de MS]]</f>
        <v>0</v>
      </c>
    </row>
    <row r="64" spans="2:12" s="5" customFormat="1" ht="16.2" thickBot="1" x14ac:dyDescent="0.35">
      <c r="B64" s="53" t="s">
        <v>123</v>
      </c>
      <c r="C64" s="485" t="s">
        <v>11</v>
      </c>
      <c r="D64" s="91"/>
      <c r="E64" s="73"/>
      <c r="F64" s="75">
        <f>$D$64*$E64</f>
        <v>0</v>
      </c>
      <c r="G64" s="43"/>
      <c r="H64" s="54">
        <f t="shared" si="2"/>
        <v>0</v>
      </c>
      <c r="I64" s="452"/>
      <c r="J64" s="460">
        <f>Tableau1[[#This Row],[T de MS]]*Tableau1[[#This Row],[VEM/kg de MS]]*1000</f>
        <v>0</v>
      </c>
      <c r="K64" s="443"/>
      <c r="L64" s="462">
        <f>Tableau1[[#This Row],[g de DVE/kg de MS]]*Tableau1[[#This Row],[T de MS]]</f>
        <v>0</v>
      </c>
    </row>
    <row r="65" spans="2:12" s="5" customFormat="1" ht="16.2" thickBot="1" x14ac:dyDescent="0.35">
      <c r="B65" s="31"/>
      <c r="C65" s="483" t="s">
        <v>12</v>
      </c>
      <c r="D65" s="475" t="str">
        <f>IF(D64="","",D64)</f>
        <v/>
      </c>
      <c r="E65" s="71"/>
      <c r="F65" s="35">
        <f t="shared" ref="F65:F67" si="17">$D$64*$E65</f>
        <v>0</v>
      </c>
      <c r="G65" s="34"/>
      <c r="H65" s="47">
        <f t="shared" si="2"/>
        <v>0</v>
      </c>
      <c r="I65" s="453"/>
      <c r="J65" s="460">
        <f>Tableau1[[#This Row],[T de MS]]*Tableau1[[#This Row],[VEM/kg de MS]]*1000</f>
        <v>0</v>
      </c>
      <c r="K65" s="441"/>
      <c r="L65" s="462">
        <f>Tableau1[[#This Row],[g de DVE/kg de MS]]*Tableau1[[#This Row],[T de MS]]</f>
        <v>0</v>
      </c>
    </row>
    <row r="66" spans="2:12" s="5" customFormat="1" ht="16.2" thickBot="1" x14ac:dyDescent="0.35">
      <c r="B66" s="31"/>
      <c r="C66" s="483" t="s">
        <v>13</v>
      </c>
      <c r="D66" s="475" t="str">
        <f t="shared" ref="D66:D68" si="18">IF(D65="","",D65)</f>
        <v/>
      </c>
      <c r="E66" s="71"/>
      <c r="F66" s="35">
        <f t="shared" si="17"/>
        <v>0</v>
      </c>
      <c r="G66" s="34"/>
      <c r="H66" s="47">
        <f t="shared" si="2"/>
        <v>0</v>
      </c>
      <c r="I66" s="453"/>
      <c r="J66" s="460">
        <f>Tableau1[[#This Row],[T de MS]]*Tableau1[[#This Row],[VEM/kg de MS]]*1000</f>
        <v>0</v>
      </c>
      <c r="K66" s="441"/>
      <c r="L66" s="462">
        <f>Tableau1[[#This Row],[g de DVE/kg de MS]]*Tableau1[[#This Row],[T de MS]]</f>
        <v>0</v>
      </c>
    </row>
    <row r="67" spans="2:12" s="5" customFormat="1" ht="16.2" thickBot="1" x14ac:dyDescent="0.35">
      <c r="B67" s="31"/>
      <c r="C67" s="483" t="s">
        <v>14</v>
      </c>
      <c r="D67" s="475" t="str">
        <f t="shared" si="18"/>
        <v/>
      </c>
      <c r="E67" s="71"/>
      <c r="F67" s="35">
        <f t="shared" si="17"/>
        <v>0</v>
      </c>
      <c r="G67" s="34"/>
      <c r="H67" s="47">
        <f t="shared" si="2"/>
        <v>0</v>
      </c>
      <c r="I67" s="453"/>
      <c r="J67" s="460">
        <f>Tableau1[[#This Row],[T de MS]]*Tableau1[[#This Row],[VEM/kg de MS]]*1000</f>
        <v>0</v>
      </c>
      <c r="K67" s="441"/>
      <c r="L67" s="462">
        <f>Tableau1[[#This Row],[g de DVE/kg de MS]]*Tableau1[[#This Row],[T de MS]]</f>
        <v>0</v>
      </c>
    </row>
    <row r="68" spans="2:12" s="5" customFormat="1" ht="16.2" thickBot="1" x14ac:dyDescent="0.35">
      <c r="B68" s="48"/>
      <c r="C68" s="484" t="s">
        <v>15</v>
      </c>
      <c r="D68" s="475" t="str">
        <f t="shared" si="18"/>
        <v/>
      </c>
      <c r="E68" s="64"/>
      <c r="F68" s="76">
        <f>$D$64*$E68</f>
        <v>0</v>
      </c>
      <c r="G68" s="51"/>
      <c r="H68" s="52">
        <f t="shared" si="2"/>
        <v>0</v>
      </c>
      <c r="I68" s="454"/>
      <c r="J68" s="460">
        <f>Tableau1[[#This Row],[T de MS]]*Tableau1[[#This Row],[VEM/kg de MS]]*1000</f>
        <v>0</v>
      </c>
      <c r="K68" s="444"/>
      <c r="L68" s="462">
        <f>Tableau1[[#This Row],[g de DVE/kg de MS]]*Tableau1[[#This Row],[T de MS]]</f>
        <v>0</v>
      </c>
    </row>
    <row r="69" spans="2:12" s="5" customFormat="1" ht="16.2" thickBot="1" x14ac:dyDescent="0.35">
      <c r="B69" s="53" t="s">
        <v>124</v>
      </c>
      <c r="C69" s="485" t="s">
        <v>11</v>
      </c>
      <c r="D69" s="91"/>
      <c r="E69" s="73"/>
      <c r="F69" s="75">
        <f>$D$69*$E69</f>
        <v>0</v>
      </c>
      <c r="G69" s="43"/>
      <c r="H69" s="54">
        <f t="shared" si="2"/>
        <v>0</v>
      </c>
      <c r="I69" s="452"/>
      <c r="J69" s="460">
        <f>Tableau1[[#This Row],[T de MS]]*Tableau1[[#This Row],[VEM/kg de MS]]*1000</f>
        <v>0</v>
      </c>
      <c r="K69" s="443"/>
      <c r="L69" s="462">
        <f>Tableau1[[#This Row],[g de DVE/kg de MS]]*Tableau1[[#This Row],[T de MS]]</f>
        <v>0</v>
      </c>
    </row>
    <row r="70" spans="2:12" s="5" customFormat="1" ht="16.2" thickBot="1" x14ac:dyDescent="0.35">
      <c r="B70" s="31"/>
      <c r="C70" s="483" t="s">
        <v>12</v>
      </c>
      <c r="D70" s="475" t="str">
        <f>IF(D69="","",D69)</f>
        <v/>
      </c>
      <c r="E70" s="71"/>
      <c r="F70" s="35">
        <f t="shared" ref="F70:F73" si="19">$D$69*$E70</f>
        <v>0</v>
      </c>
      <c r="G70" s="34"/>
      <c r="H70" s="47">
        <f t="shared" si="2"/>
        <v>0</v>
      </c>
      <c r="I70" s="453"/>
      <c r="J70" s="460">
        <f>Tableau1[[#This Row],[T de MS]]*Tableau1[[#This Row],[VEM/kg de MS]]*1000</f>
        <v>0</v>
      </c>
      <c r="K70" s="441"/>
      <c r="L70" s="462">
        <f>Tableau1[[#This Row],[g de DVE/kg de MS]]*Tableau1[[#This Row],[T de MS]]</f>
        <v>0</v>
      </c>
    </row>
    <row r="71" spans="2:12" s="5" customFormat="1" ht="16.2" thickBot="1" x14ac:dyDescent="0.35">
      <c r="B71" s="31"/>
      <c r="C71" s="483" t="s">
        <v>13</v>
      </c>
      <c r="D71" s="475" t="str">
        <f t="shared" ref="D71:D73" si="20">IF(D70="","",D70)</f>
        <v/>
      </c>
      <c r="E71" s="71"/>
      <c r="F71" s="35">
        <f t="shared" si="19"/>
        <v>0</v>
      </c>
      <c r="G71" s="34"/>
      <c r="H71" s="47">
        <f t="shared" si="2"/>
        <v>0</v>
      </c>
      <c r="I71" s="453"/>
      <c r="J71" s="460">
        <f>Tableau1[[#This Row],[T de MS]]*Tableau1[[#This Row],[VEM/kg de MS]]*1000</f>
        <v>0</v>
      </c>
      <c r="K71" s="441"/>
      <c r="L71" s="462">
        <f>Tableau1[[#This Row],[g de DVE/kg de MS]]*Tableau1[[#This Row],[T de MS]]</f>
        <v>0</v>
      </c>
    </row>
    <row r="72" spans="2:12" s="5" customFormat="1" ht="16.2" thickBot="1" x14ac:dyDescent="0.35">
      <c r="B72" s="31"/>
      <c r="C72" s="483" t="s">
        <v>14</v>
      </c>
      <c r="D72" s="475" t="str">
        <f t="shared" si="20"/>
        <v/>
      </c>
      <c r="E72" s="71"/>
      <c r="F72" s="35">
        <f t="shared" si="19"/>
        <v>0</v>
      </c>
      <c r="G72" s="34"/>
      <c r="H72" s="47">
        <f t="shared" si="2"/>
        <v>0</v>
      </c>
      <c r="I72" s="453"/>
      <c r="J72" s="460">
        <f>Tableau1[[#This Row],[T de MS]]*Tableau1[[#This Row],[VEM/kg de MS]]*1000</f>
        <v>0</v>
      </c>
      <c r="K72" s="441"/>
      <c r="L72" s="462">
        <f>Tableau1[[#This Row],[g de DVE/kg de MS]]*Tableau1[[#This Row],[T de MS]]</f>
        <v>0</v>
      </c>
    </row>
    <row r="73" spans="2:12" s="5" customFormat="1" ht="16.2" thickBot="1" x14ac:dyDescent="0.35">
      <c r="B73" s="48"/>
      <c r="C73" s="484" t="s">
        <v>15</v>
      </c>
      <c r="D73" s="475" t="str">
        <f t="shared" si="20"/>
        <v/>
      </c>
      <c r="E73" s="64"/>
      <c r="F73" s="76">
        <f t="shared" si="19"/>
        <v>0</v>
      </c>
      <c r="G73" s="51"/>
      <c r="H73" s="52">
        <f t="shared" si="2"/>
        <v>0</v>
      </c>
      <c r="I73" s="454"/>
      <c r="J73" s="460">
        <f>Tableau1[[#This Row],[T de MS]]*Tableau1[[#This Row],[VEM/kg de MS]]*1000</f>
        <v>0</v>
      </c>
      <c r="K73" s="444"/>
      <c r="L73" s="462">
        <f>Tableau1[[#This Row],[g de DVE/kg de MS]]*Tableau1[[#This Row],[T de MS]]</f>
        <v>0</v>
      </c>
    </row>
    <row r="74" spans="2:12" s="5" customFormat="1" ht="16.2" thickBot="1" x14ac:dyDescent="0.35">
      <c r="B74" s="53" t="s">
        <v>125</v>
      </c>
      <c r="C74" s="485" t="s">
        <v>11</v>
      </c>
      <c r="D74" s="91"/>
      <c r="E74" s="73"/>
      <c r="F74" s="75">
        <f>$D$74*$E74</f>
        <v>0</v>
      </c>
      <c r="G74" s="43"/>
      <c r="H74" s="54">
        <f t="shared" si="2"/>
        <v>0</v>
      </c>
      <c r="I74" s="452"/>
      <c r="J74" s="460">
        <f>Tableau1[[#This Row],[T de MS]]*Tableau1[[#This Row],[VEM/kg de MS]]*1000</f>
        <v>0</v>
      </c>
      <c r="K74" s="443"/>
      <c r="L74" s="462">
        <f>Tableau1[[#This Row],[g de DVE/kg de MS]]*Tableau1[[#This Row],[T de MS]]</f>
        <v>0</v>
      </c>
    </row>
    <row r="75" spans="2:12" s="5" customFormat="1" ht="16.2" thickBot="1" x14ac:dyDescent="0.35">
      <c r="B75" s="31"/>
      <c r="C75" s="483" t="s">
        <v>12</v>
      </c>
      <c r="D75" s="475" t="str">
        <f>IF(D74="","",D74)</f>
        <v/>
      </c>
      <c r="E75" s="71"/>
      <c r="F75" s="35">
        <f t="shared" ref="F75:F78" si="21">$D$74*$E75</f>
        <v>0</v>
      </c>
      <c r="G75" s="34"/>
      <c r="H75" s="47">
        <f t="shared" si="2"/>
        <v>0</v>
      </c>
      <c r="I75" s="453"/>
      <c r="J75" s="460">
        <f>Tableau1[[#This Row],[T de MS]]*Tableau1[[#This Row],[VEM/kg de MS]]*1000</f>
        <v>0</v>
      </c>
      <c r="K75" s="441"/>
      <c r="L75" s="462">
        <f>Tableau1[[#This Row],[g de DVE/kg de MS]]*Tableau1[[#This Row],[T de MS]]</f>
        <v>0</v>
      </c>
    </row>
    <row r="76" spans="2:12" s="5" customFormat="1" ht="16.2" thickBot="1" x14ac:dyDescent="0.35">
      <c r="B76" s="31"/>
      <c r="C76" s="483" t="s">
        <v>13</v>
      </c>
      <c r="D76" s="475" t="str">
        <f t="shared" ref="D76:D78" si="22">IF(D75="","",D75)</f>
        <v/>
      </c>
      <c r="E76" s="71"/>
      <c r="F76" s="35">
        <f t="shared" si="21"/>
        <v>0</v>
      </c>
      <c r="G76" s="34"/>
      <c r="H76" s="47">
        <f t="shared" si="2"/>
        <v>0</v>
      </c>
      <c r="I76" s="453"/>
      <c r="J76" s="460">
        <f>Tableau1[[#This Row],[T de MS]]*Tableau1[[#This Row],[VEM/kg de MS]]*1000</f>
        <v>0</v>
      </c>
      <c r="K76" s="441"/>
      <c r="L76" s="462">
        <f>Tableau1[[#This Row],[g de DVE/kg de MS]]*Tableau1[[#This Row],[T de MS]]</f>
        <v>0</v>
      </c>
    </row>
    <row r="77" spans="2:12" s="5" customFormat="1" ht="16.2" thickBot="1" x14ac:dyDescent="0.35">
      <c r="B77" s="31"/>
      <c r="C77" s="483" t="s">
        <v>14</v>
      </c>
      <c r="D77" s="475" t="str">
        <f t="shared" si="22"/>
        <v/>
      </c>
      <c r="E77" s="71"/>
      <c r="F77" s="35">
        <f t="shared" si="21"/>
        <v>0</v>
      </c>
      <c r="G77" s="34"/>
      <c r="H77" s="47">
        <f t="shared" si="2"/>
        <v>0</v>
      </c>
      <c r="I77" s="453"/>
      <c r="J77" s="460">
        <f>Tableau1[[#This Row],[T de MS]]*Tableau1[[#This Row],[VEM/kg de MS]]*1000</f>
        <v>0</v>
      </c>
      <c r="K77" s="441"/>
      <c r="L77" s="462">
        <f>Tableau1[[#This Row],[g de DVE/kg de MS]]*Tableau1[[#This Row],[T de MS]]</f>
        <v>0</v>
      </c>
    </row>
    <row r="78" spans="2:12" s="5" customFormat="1" ht="16.2" thickBot="1" x14ac:dyDescent="0.35">
      <c r="B78" s="74"/>
      <c r="C78" s="486" t="s">
        <v>15</v>
      </c>
      <c r="D78" s="475" t="str">
        <f t="shared" si="22"/>
        <v/>
      </c>
      <c r="E78" s="64"/>
      <c r="F78" s="76">
        <f t="shared" si="21"/>
        <v>0</v>
      </c>
      <c r="G78" s="51"/>
      <c r="H78" s="52">
        <f t="shared" si="2"/>
        <v>0</v>
      </c>
      <c r="I78" s="454"/>
      <c r="J78" s="460">
        <f>Tableau1[[#This Row],[T de MS]]*Tableau1[[#This Row],[VEM/kg de MS]]*1000</f>
        <v>0</v>
      </c>
      <c r="K78" s="444"/>
      <c r="L78" s="462">
        <f>Tableau1[[#This Row],[g de DVE/kg de MS]]*Tableau1[[#This Row],[T de MS]]</f>
        <v>0</v>
      </c>
    </row>
    <row r="79" spans="2:12" s="5" customFormat="1" ht="16.2" thickBot="1" x14ac:dyDescent="0.35">
      <c r="B79" s="53" t="s">
        <v>252</v>
      </c>
      <c r="C79" s="485" t="s">
        <v>11</v>
      </c>
      <c r="D79" s="91"/>
      <c r="E79" s="73"/>
      <c r="F79" s="75">
        <f>$D$79*$E79</f>
        <v>0</v>
      </c>
      <c r="G79" s="43"/>
      <c r="H79" s="54">
        <f t="shared" si="2"/>
        <v>0</v>
      </c>
      <c r="I79" s="452"/>
      <c r="J79" s="460">
        <f>Tableau1[[#This Row],[T de MS]]*Tableau1[[#This Row],[VEM/kg de MS]]*1000</f>
        <v>0</v>
      </c>
      <c r="K79" s="443"/>
      <c r="L79" s="462">
        <f>Tableau1[[#This Row],[g de DVE/kg de MS]]*Tableau1[[#This Row],[T de MS]]</f>
        <v>0</v>
      </c>
    </row>
    <row r="80" spans="2:12" s="5" customFormat="1" ht="16.2" thickBot="1" x14ac:dyDescent="0.35">
      <c r="B80" s="31"/>
      <c r="C80" s="483" t="s">
        <v>12</v>
      </c>
      <c r="D80" s="475" t="str">
        <f>IF(D79="","",D79)</f>
        <v/>
      </c>
      <c r="E80" s="71"/>
      <c r="F80" s="35">
        <f t="shared" ref="F80:F83" si="23">$D$79*$E80</f>
        <v>0</v>
      </c>
      <c r="G80" s="34"/>
      <c r="H80" s="47">
        <f t="shared" si="2"/>
        <v>0</v>
      </c>
      <c r="I80" s="453"/>
      <c r="J80" s="460">
        <f>Tableau1[[#This Row],[T de MS]]*Tableau1[[#This Row],[VEM/kg de MS]]*1000</f>
        <v>0</v>
      </c>
      <c r="K80" s="441"/>
      <c r="L80" s="462">
        <f>Tableau1[[#This Row],[g de DVE/kg de MS]]*Tableau1[[#This Row],[T de MS]]</f>
        <v>0</v>
      </c>
    </row>
    <row r="81" spans="2:19" s="5" customFormat="1" ht="16.2" thickBot="1" x14ac:dyDescent="0.35">
      <c r="B81" s="31"/>
      <c r="C81" s="483" t="s">
        <v>13</v>
      </c>
      <c r="D81" s="475" t="str">
        <f t="shared" ref="D81:D83" si="24">IF(D80="","",D80)</f>
        <v/>
      </c>
      <c r="E81" s="71"/>
      <c r="F81" s="35">
        <f t="shared" si="23"/>
        <v>0</v>
      </c>
      <c r="G81" s="34"/>
      <c r="H81" s="47">
        <f t="shared" si="2"/>
        <v>0</v>
      </c>
      <c r="I81" s="453"/>
      <c r="J81" s="460">
        <f>Tableau1[[#This Row],[T de MS]]*Tableau1[[#This Row],[VEM/kg de MS]]*1000</f>
        <v>0</v>
      </c>
      <c r="K81" s="441"/>
      <c r="L81" s="462">
        <f>Tableau1[[#This Row],[g de DVE/kg de MS]]*Tableau1[[#This Row],[T de MS]]</f>
        <v>0</v>
      </c>
    </row>
    <row r="82" spans="2:19" ht="16.2" thickBot="1" x14ac:dyDescent="0.35">
      <c r="B82" s="31"/>
      <c r="C82" s="483" t="s">
        <v>14</v>
      </c>
      <c r="D82" s="475" t="str">
        <f t="shared" si="24"/>
        <v/>
      </c>
      <c r="E82" s="71"/>
      <c r="F82" s="35">
        <f t="shared" si="23"/>
        <v>0</v>
      </c>
      <c r="G82" s="34"/>
      <c r="H82" s="47">
        <f t="shared" ref="H82:H103" si="25">$F82*$G82</f>
        <v>0</v>
      </c>
      <c r="I82" s="453"/>
      <c r="J82" s="460">
        <f>Tableau1[[#This Row],[T de MS]]*Tableau1[[#This Row],[VEM/kg de MS]]*1000</f>
        <v>0</v>
      </c>
      <c r="K82" s="441"/>
      <c r="L82" s="462">
        <f>Tableau1[[#This Row],[g de DVE/kg de MS]]*Tableau1[[#This Row],[T de MS]]</f>
        <v>0</v>
      </c>
    </row>
    <row r="83" spans="2:19" ht="16.2" thickBot="1" x14ac:dyDescent="0.35">
      <c r="B83" s="48"/>
      <c r="C83" s="484" t="s">
        <v>15</v>
      </c>
      <c r="D83" s="475" t="str">
        <f t="shared" si="24"/>
        <v/>
      </c>
      <c r="E83" s="64"/>
      <c r="F83" s="76">
        <f t="shared" si="23"/>
        <v>0</v>
      </c>
      <c r="G83" s="51"/>
      <c r="H83" s="52">
        <f t="shared" si="25"/>
        <v>0</v>
      </c>
      <c r="I83" s="454"/>
      <c r="J83" s="460">
        <f>Tableau1[[#This Row],[T de MS]]*Tableau1[[#This Row],[VEM/kg de MS]]*1000</f>
        <v>0</v>
      </c>
      <c r="K83" s="444"/>
      <c r="L83" s="462">
        <f>Tableau1[[#This Row],[g de DVE/kg de MS]]*Tableau1[[#This Row],[T de MS]]</f>
        <v>0</v>
      </c>
    </row>
    <row r="84" spans="2:19" ht="16.2" thickBot="1" x14ac:dyDescent="0.35">
      <c r="B84" s="53" t="s">
        <v>253</v>
      </c>
      <c r="C84" s="485" t="s">
        <v>11</v>
      </c>
      <c r="D84" s="91"/>
      <c r="E84" s="73"/>
      <c r="F84" s="75">
        <f>$D$84*$E84</f>
        <v>0</v>
      </c>
      <c r="G84" s="43"/>
      <c r="H84" s="54">
        <f t="shared" si="25"/>
        <v>0</v>
      </c>
      <c r="I84" s="452"/>
      <c r="J84" s="460">
        <f>Tableau1[[#This Row],[T de MS]]*Tableau1[[#This Row],[VEM/kg de MS]]*1000</f>
        <v>0</v>
      </c>
      <c r="K84" s="443"/>
      <c r="L84" s="462">
        <f>Tableau1[[#This Row],[g de DVE/kg de MS]]*Tableau1[[#This Row],[T de MS]]</f>
        <v>0</v>
      </c>
    </row>
    <row r="85" spans="2:19" ht="16.2" thickBot="1" x14ac:dyDescent="0.35">
      <c r="B85" s="31"/>
      <c r="C85" s="483" t="s">
        <v>12</v>
      </c>
      <c r="D85" s="475" t="str">
        <f>IF(D84="","",D84)</f>
        <v/>
      </c>
      <c r="E85" s="71"/>
      <c r="F85" s="35">
        <f t="shared" ref="F85:F88" si="26">$D$84*$E85</f>
        <v>0</v>
      </c>
      <c r="G85" s="34"/>
      <c r="H85" s="47">
        <f t="shared" si="25"/>
        <v>0</v>
      </c>
      <c r="I85" s="453"/>
      <c r="J85" s="460">
        <f>Tableau1[[#This Row],[T de MS]]*Tableau1[[#This Row],[VEM/kg de MS]]*1000</f>
        <v>0</v>
      </c>
      <c r="K85" s="441"/>
      <c r="L85" s="462">
        <f>Tableau1[[#This Row],[g de DVE/kg de MS]]*Tableau1[[#This Row],[T de MS]]</f>
        <v>0</v>
      </c>
    </row>
    <row r="86" spans="2:19" ht="16.2" thickBot="1" x14ac:dyDescent="0.35">
      <c r="B86" s="31"/>
      <c r="C86" s="483" t="s">
        <v>13</v>
      </c>
      <c r="D86" s="475" t="str">
        <f t="shared" ref="D86:D88" si="27">IF(D85="","",D85)</f>
        <v/>
      </c>
      <c r="E86" s="71"/>
      <c r="F86" s="35">
        <f t="shared" si="26"/>
        <v>0</v>
      </c>
      <c r="G86" s="34"/>
      <c r="H86" s="47">
        <f t="shared" si="25"/>
        <v>0</v>
      </c>
      <c r="I86" s="453"/>
      <c r="J86" s="460">
        <f>Tableau1[[#This Row],[T de MS]]*Tableau1[[#This Row],[VEM/kg de MS]]*1000</f>
        <v>0</v>
      </c>
      <c r="K86" s="441"/>
      <c r="L86" s="462">
        <f>Tableau1[[#This Row],[g de DVE/kg de MS]]*Tableau1[[#This Row],[T de MS]]</f>
        <v>0</v>
      </c>
    </row>
    <row r="87" spans="2:19" ht="16.2" thickBot="1" x14ac:dyDescent="0.35">
      <c r="B87" s="31"/>
      <c r="C87" s="483" t="s">
        <v>14</v>
      </c>
      <c r="D87" s="475" t="str">
        <f t="shared" si="27"/>
        <v/>
      </c>
      <c r="E87" s="71"/>
      <c r="F87" s="35">
        <f t="shared" si="26"/>
        <v>0</v>
      </c>
      <c r="G87" s="34"/>
      <c r="H87" s="47">
        <f t="shared" si="25"/>
        <v>0</v>
      </c>
      <c r="I87" s="453"/>
      <c r="J87" s="460">
        <f>Tableau1[[#This Row],[T de MS]]*Tableau1[[#This Row],[VEM/kg de MS]]*1000</f>
        <v>0</v>
      </c>
      <c r="K87" s="441"/>
      <c r="L87" s="462">
        <f>Tableau1[[#This Row],[g de DVE/kg de MS]]*Tableau1[[#This Row],[T de MS]]</f>
        <v>0</v>
      </c>
    </row>
    <row r="88" spans="2:19" s="5" customFormat="1" ht="16.2" thickBot="1" x14ac:dyDescent="0.35">
      <c r="B88" s="48"/>
      <c r="C88" s="484" t="s">
        <v>15</v>
      </c>
      <c r="D88" s="475" t="str">
        <f t="shared" si="27"/>
        <v/>
      </c>
      <c r="E88" s="64"/>
      <c r="F88" s="76">
        <f t="shared" si="26"/>
        <v>0</v>
      </c>
      <c r="G88" s="51"/>
      <c r="H88" s="52">
        <f t="shared" si="25"/>
        <v>0</v>
      </c>
      <c r="I88" s="454"/>
      <c r="J88" s="460">
        <f>Tableau1[[#This Row],[T de MS]]*Tableau1[[#This Row],[VEM/kg de MS]]*1000</f>
        <v>0</v>
      </c>
      <c r="K88" s="444"/>
      <c r="L88" s="462">
        <f>Tableau1[[#This Row],[g de DVE/kg de MS]]*Tableau1[[#This Row],[T de MS]]</f>
        <v>0</v>
      </c>
      <c r="N88"/>
      <c r="O88"/>
      <c r="P88"/>
      <c r="Q88"/>
      <c r="R88"/>
      <c r="S88"/>
    </row>
    <row r="89" spans="2:19" ht="16.2" thickBot="1" x14ac:dyDescent="0.35">
      <c r="B89" s="53" t="s">
        <v>254</v>
      </c>
      <c r="C89" s="485" t="s">
        <v>11</v>
      </c>
      <c r="D89" s="91"/>
      <c r="E89" s="73"/>
      <c r="F89" s="75">
        <f>$D$89*$E89</f>
        <v>0</v>
      </c>
      <c r="G89" s="43"/>
      <c r="H89" s="54">
        <f t="shared" si="25"/>
        <v>0</v>
      </c>
      <c r="I89" s="452"/>
      <c r="J89" s="460">
        <f>Tableau1[[#This Row],[T de MS]]*Tableau1[[#This Row],[VEM/kg de MS]]*1000</f>
        <v>0</v>
      </c>
      <c r="K89" s="443"/>
      <c r="L89" s="462">
        <f>Tableau1[[#This Row],[g de DVE/kg de MS]]*Tableau1[[#This Row],[T de MS]]</f>
        <v>0</v>
      </c>
    </row>
    <row r="90" spans="2:19" ht="16.2" thickBot="1" x14ac:dyDescent="0.35">
      <c r="B90" s="31"/>
      <c r="C90" s="483" t="s">
        <v>12</v>
      </c>
      <c r="D90" s="475" t="str">
        <f>IF(D89="","",D89)</f>
        <v/>
      </c>
      <c r="E90" s="71"/>
      <c r="F90" s="35">
        <f t="shared" ref="F90:F93" si="28">$D$89*$E90</f>
        <v>0</v>
      </c>
      <c r="G90" s="34"/>
      <c r="H90" s="47">
        <f t="shared" si="25"/>
        <v>0</v>
      </c>
      <c r="I90" s="453"/>
      <c r="J90" s="460">
        <f>Tableau1[[#This Row],[T de MS]]*Tableau1[[#This Row],[VEM/kg de MS]]*1000</f>
        <v>0</v>
      </c>
      <c r="K90" s="441"/>
      <c r="L90" s="462">
        <f>Tableau1[[#This Row],[g de DVE/kg de MS]]*Tableau1[[#This Row],[T de MS]]</f>
        <v>0</v>
      </c>
    </row>
    <row r="91" spans="2:19" ht="16.2" thickBot="1" x14ac:dyDescent="0.35">
      <c r="B91" s="31"/>
      <c r="C91" s="483" t="s">
        <v>13</v>
      </c>
      <c r="D91" s="475" t="str">
        <f t="shared" ref="D91:D93" si="29">IF(D90="","",D90)</f>
        <v/>
      </c>
      <c r="E91" s="71"/>
      <c r="F91" s="35">
        <f t="shared" si="28"/>
        <v>0</v>
      </c>
      <c r="G91" s="34"/>
      <c r="H91" s="47">
        <f t="shared" si="25"/>
        <v>0</v>
      </c>
      <c r="I91" s="453"/>
      <c r="J91" s="460">
        <f>Tableau1[[#This Row],[T de MS]]*Tableau1[[#This Row],[VEM/kg de MS]]*1000</f>
        <v>0</v>
      </c>
      <c r="K91" s="441"/>
      <c r="L91" s="462">
        <f>Tableau1[[#This Row],[g de DVE/kg de MS]]*Tableau1[[#This Row],[T de MS]]</f>
        <v>0</v>
      </c>
    </row>
    <row r="92" spans="2:19" ht="16.2" thickBot="1" x14ac:dyDescent="0.35">
      <c r="B92" s="31"/>
      <c r="C92" s="483" t="s">
        <v>14</v>
      </c>
      <c r="D92" s="475" t="str">
        <f t="shared" si="29"/>
        <v/>
      </c>
      <c r="E92" s="71"/>
      <c r="F92" s="35">
        <f t="shared" si="28"/>
        <v>0</v>
      </c>
      <c r="G92" s="34"/>
      <c r="H92" s="47">
        <f t="shared" si="25"/>
        <v>0</v>
      </c>
      <c r="I92" s="453"/>
      <c r="J92" s="460">
        <f>Tableau1[[#This Row],[T de MS]]*Tableau1[[#This Row],[VEM/kg de MS]]*1000</f>
        <v>0</v>
      </c>
      <c r="K92" s="441"/>
      <c r="L92" s="462">
        <f>Tableau1[[#This Row],[g de DVE/kg de MS]]*Tableau1[[#This Row],[T de MS]]</f>
        <v>0</v>
      </c>
    </row>
    <row r="93" spans="2:19" ht="16.2" thickBot="1" x14ac:dyDescent="0.35">
      <c r="B93" s="48"/>
      <c r="C93" s="484" t="s">
        <v>15</v>
      </c>
      <c r="D93" s="475" t="str">
        <f t="shared" si="29"/>
        <v/>
      </c>
      <c r="E93" s="64"/>
      <c r="F93" s="76">
        <f t="shared" si="28"/>
        <v>0</v>
      </c>
      <c r="G93" s="51"/>
      <c r="H93" s="52">
        <f t="shared" si="25"/>
        <v>0</v>
      </c>
      <c r="I93" s="454"/>
      <c r="J93" s="460">
        <f>Tableau1[[#This Row],[T de MS]]*Tableau1[[#This Row],[VEM/kg de MS]]*1000</f>
        <v>0</v>
      </c>
      <c r="K93" s="444"/>
      <c r="L93" s="462">
        <f>Tableau1[[#This Row],[g de DVE/kg de MS]]*Tableau1[[#This Row],[T de MS]]</f>
        <v>0</v>
      </c>
    </row>
    <row r="94" spans="2:19" ht="16.2" thickBot="1" x14ac:dyDescent="0.35">
      <c r="B94" s="53" t="s">
        <v>255</v>
      </c>
      <c r="C94" s="485" t="s">
        <v>11</v>
      </c>
      <c r="D94" s="91"/>
      <c r="E94" s="73"/>
      <c r="F94" s="75">
        <f>$D$94*$E94</f>
        <v>0</v>
      </c>
      <c r="G94" s="43"/>
      <c r="H94" s="54">
        <f t="shared" si="25"/>
        <v>0</v>
      </c>
      <c r="I94" s="452"/>
      <c r="J94" s="460">
        <f>Tableau1[[#This Row],[T de MS]]*Tableau1[[#This Row],[VEM/kg de MS]]*1000</f>
        <v>0</v>
      </c>
      <c r="K94" s="443"/>
      <c r="L94" s="462">
        <f>Tableau1[[#This Row],[g de DVE/kg de MS]]*Tableau1[[#This Row],[T de MS]]</f>
        <v>0</v>
      </c>
    </row>
    <row r="95" spans="2:19" ht="16.2" thickBot="1" x14ac:dyDescent="0.35">
      <c r="B95" s="31"/>
      <c r="C95" s="483" t="s">
        <v>12</v>
      </c>
      <c r="D95" s="475" t="str">
        <f>IF(D94="","",D94)</f>
        <v/>
      </c>
      <c r="E95" s="71"/>
      <c r="F95" s="35">
        <f t="shared" ref="F95:F98" si="30">$D$94*$E95</f>
        <v>0</v>
      </c>
      <c r="G95" s="34"/>
      <c r="H95" s="47">
        <f t="shared" si="25"/>
        <v>0</v>
      </c>
      <c r="I95" s="453"/>
      <c r="J95" s="460">
        <f>Tableau1[[#This Row],[T de MS]]*Tableau1[[#This Row],[VEM/kg de MS]]*1000</f>
        <v>0</v>
      </c>
      <c r="K95" s="441"/>
      <c r="L95" s="462">
        <f>Tableau1[[#This Row],[g de DVE/kg de MS]]*Tableau1[[#This Row],[T de MS]]</f>
        <v>0</v>
      </c>
    </row>
    <row r="96" spans="2:19" ht="16.2" thickBot="1" x14ac:dyDescent="0.35">
      <c r="B96" s="31"/>
      <c r="C96" s="483" t="s">
        <v>13</v>
      </c>
      <c r="D96" s="475" t="str">
        <f t="shared" ref="D96:D98" si="31">IF(D95="","",D95)</f>
        <v/>
      </c>
      <c r="E96" s="71"/>
      <c r="F96" s="35">
        <f t="shared" si="30"/>
        <v>0</v>
      </c>
      <c r="G96" s="34"/>
      <c r="H96" s="47">
        <f t="shared" si="25"/>
        <v>0</v>
      </c>
      <c r="I96" s="453"/>
      <c r="J96" s="460">
        <f>Tableau1[[#This Row],[T de MS]]*Tableau1[[#This Row],[VEM/kg de MS]]*1000</f>
        <v>0</v>
      </c>
      <c r="K96" s="441"/>
      <c r="L96" s="462">
        <f>Tableau1[[#This Row],[g de DVE/kg de MS]]*Tableau1[[#This Row],[T de MS]]</f>
        <v>0</v>
      </c>
    </row>
    <row r="97" spans="2:12" ht="16.2" thickBot="1" x14ac:dyDescent="0.35">
      <c r="B97" s="31"/>
      <c r="C97" s="483" t="s">
        <v>14</v>
      </c>
      <c r="D97" s="475" t="str">
        <f t="shared" si="31"/>
        <v/>
      </c>
      <c r="E97" s="71"/>
      <c r="F97" s="35">
        <f t="shared" si="30"/>
        <v>0</v>
      </c>
      <c r="G97" s="34"/>
      <c r="H97" s="47">
        <f t="shared" si="25"/>
        <v>0</v>
      </c>
      <c r="I97" s="453"/>
      <c r="J97" s="460">
        <f>Tableau1[[#This Row],[T de MS]]*Tableau1[[#This Row],[VEM/kg de MS]]*1000</f>
        <v>0</v>
      </c>
      <c r="K97" s="441"/>
      <c r="L97" s="462">
        <f>Tableau1[[#This Row],[g de DVE/kg de MS]]*Tableau1[[#This Row],[T de MS]]</f>
        <v>0</v>
      </c>
    </row>
    <row r="98" spans="2:12" ht="16.2" thickBot="1" x14ac:dyDescent="0.35">
      <c r="B98" s="48"/>
      <c r="C98" s="484" t="s">
        <v>15</v>
      </c>
      <c r="D98" s="475" t="str">
        <f t="shared" si="31"/>
        <v/>
      </c>
      <c r="E98" s="64"/>
      <c r="F98" s="76">
        <f t="shared" si="30"/>
        <v>0</v>
      </c>
      <c r="G98" s="51"/>
      <c r="H98" s="52">
        <f t="shared" si="25"/>
        <v>0</v>
      </c>
      <c r="I98" s="454"/>
      <c r="J98" s="460">
        <f>Tableau1[[#This Row],[T de MS]]*Tableau1[[#This Row],[VEM/kg de MS]]*1000</f>
        <v>0</v>
      </c>
      <c r="K98" s="444"/>
      <c r="L98" s="462">
        <f>Tableau1[[#This Row],[g de DVE/kg de MS]]*Tableau1[[#This Row],[T de MS]]</f>
        <v>0</v>
      </c>
    </row>
    <row r="99" spans="2:12" ht="16.2" thickBot="1" x14ac:dyDescent="0.35">
      <c r="B99" s="53" t="s">
        <v>256</v>
      </c>
      <c r="C99" s="485" t="s">
        <v>11</v>
      </c>
      <c r="D99" s="91"/>
      <c r="E99" s="73"/>
      <c r="F99" s="75">
        <f>$D$99*$E99</f>
        <v>0</v>
      </c>
      <c r="G99" s="43"/>
      <c r="H99" s="44">
        <f t="shared" si="25"/>
        <v>0</v>
      </c>
      <c r="I99" s="457"/>
      <c r="J99" s="460">
        <f>Tableau1[[#This Row],[T de MS]]*Tableau1[[#This Row],[VEM/kg de MS]]*1000</f>
        <v>0</v>
      </c>
      <c r="K99" s="443"/>
      <c r="L99" s="462">
        <f>Tableau1[[#This Row],[g de DVE/kg de MS]]*Tableau1[[#This Row],[T de MS]]</f>
        <v>0</v>
      </c>
    </row>
    <row r="100" spans="2:12" ht="16.2" thickBot="1" x14ac:dyDescent="0.35">
      <c r="B100" s="31"/>
      <c r="C100" s="483" t="s">
        <v>12</v>
      </c>
      <c r="D100" s="475" t="str">
        <f>IF(D99="","",D99)</f>
        <v/>
      </c>
      <c r="E100" s="71"/>
      <c r="F100" s="35">
        <f t="shared" ref="F100:F103" si="32">$D$99*$E100</f>
        <v>0</v>
      </c>
      <c r="G100" s="34"/>
      <c r="H100" s="47">
        <f t="shared" si="25"/>
        <v>0</v>
      </c>
      <c r="I100" s="450"/>
      <c r="J100" s="460">
        <f>Tableau1[[#This Row],[T de MS]]*Tableau1[[#This Row],[VEM/kg de MS]]*1000</f>
        <v>0</v>
      </c>
      <c r="K100" s="441"/>
      <c r="L100" s="462">
        <f>Tableau1[[#This Row],[g de DVE/kg de MS]]*Tableau1[[#This Row],[T de MS]]</f>
        <v>0</v>
      </c>
    </row>
    <row r="101" spans="2:12" ht="16.2" thickBot="1" x14ac:dyDescent="0.35">
      <c r="B101" s="31"/>
      <c r="C101" s="483" t="s">
        <v>13</v>
      </c>
      <c r="D101" s="475" t="str">
        <f t="shared" ref="D101:D103" si="33">IF(D100="","",D100)</f>
        <v/>
      </c>
      <c r="E101" s="71"/>
      <c r="F101" s="35">
        <f t="shared" si="32"/>
        <v>0</v>
      </c>
      <c r="G101" s="34"/>
      <c r="H101" s="47">
        <f t="shared" si="25"/>
        <v>0</v>
      </c>
      <c r="I101" s="450"/>
      <c r="J101" s="460">
        <f>Tableau1[[#This Row],[T de MS]]*Tableau1[[#This Row],[VEM/kg de MS]]*1000</f>
        <v>0</v>
      </c>
      <c r="K101" s="441"/>
      <c r="L101" s="462">
        <f>Tableau1[[#This Row],[g de DVE/kg de MS]]*Tableau1[[#This Row],[T de MS]]</f>
        <v>0</v>
      </c>
    </row>
    <row r="102" spans="2:12" ht="16.2" thickBot="1" x14ac:dyDescent="0.35">
      <c r="B102" s="31"/>
      <c r="C102" s="483" t="s">
        <v>14</v>
      </c>
      <c r="D102" s="475" t="str">
        <f t="shared" si="33"/>
        <v/>
      </c>
      <c r="E102" s="71"/>
      <c r="F102" s="35">
        <f t="shared" si="32"/>
        <v>0</v>
      </c>
      <c r="G102" s="34"/>
      <c r="H102" s="47">
        <f t="shared" si="25"/>
        <v>0</v>
      </c>
      <c r="I102" s="450"/>
      <c r="J102" s="460">
        <f>Tableau1[[#This Row],[T de MS]]*Tableau1[[#This Row],[VEM/kg de MS]]*1000</f>
        <v>0</v>
      </c>
      <c r="K102" s="441"/>
      <c r="L102" s="462">
        <f>Tableau1[[#This Row],[g de DVE/kg de MS]]*Tableau1[[#This Row],[T de MS]]</f>
        <v>0</v>
      </c>
    </row>
    <row r="103" spans="2:12" ht="16.2" thickBot="1" x14ac:dyDescent="0.35">
      <c r="B103" s="74"/>
      <c r="C103" s="486" t="s">
        <v>15</v>
      </c>
      <c r="D103" s="475" t="str">
        <f t="shared" si="33"/>
        <v/>
      </c>
      <c r="E103" s="77"/>
      <c r="F103" s="78">
        <f t="shared" si="32"/>
        <v>0</v>
      </c>
      <c r="G103" s="79"/>
      <c r="H103" s="80">
        <f t="shared" si="25"/>
        <v>0</v>
      </c>
      <c r="I103" s="458"/>
      <c r="J103" s="460">
        <f>Tableau1[[#This Row],[T de MS]]*Tableau1[[#This Row],[VEM/kg de MS]]*1000</f>
        <v>0</v>
      </c>
      <c r="K103" s="446"/>
      <c r="L103" s="462">
        <f>Tableau1[[#This Row],[g de DVE/kg de MS]]*Tableau1[[#This Row],[T de MS]]</f>
        <v>0</v>
      </c>
    </row>
    <row r="104" spans="2:12" ht="18.600000000000001" thickBot="1" x14ac:dyDescent="0.35">
      <c r="B104" s="133" t="s">
        <v>5</v>
      </c>
      <c r="C104" s="481"/>
      <c r="D104" s="476">
        <f>SUM(D4:D12,D13,D15,D17,D19,D21,D23,D25:D28,D29,D34,D39,D44,D49,D54,D59,D64,D69,D74,D79,D84,D89,D94,D99)</f>
        <v>0</v>
      </c>
      <c r="E104" s="138"/>
      <c r="F104" s="139">
        <f>SUM(F4:F103)</f>
        <v>0</v>
      </c>
      <c r="G104" s="140"/>
      <c r="H104" s="141">
        <f>SUM(H4:H103)</f>
        <v>0</v>
      </c>
      <c r="I104" s="459"/>
      <c r="J104" s="461">
        <f>SUM(J4:J103)</f>
        <v>0</v>
      </c>
      <c r="K104" s="142"/>
      <c r="L104" s="463">
        <f>SUM(L4:L103)</f>
        <v>0</v>
      </c>
    </row>
  </sheetData>
  <sheetProtection sheet="1" formatColumns="0" selectLockedCells="1"/>
  <mergeCells count="1">
    <mergeCell ref="B2:L2"/>
  </mergeCells>
  <dataValidations count="1">
    <dataValidation type="list" allowBlank="1" showInputMessage="1" showErrorMessage="1" sqref="B13 B15 B17 B19 B21 B23">
      <formula1>"Choisir une céréale,Épeautre,Escourgeon,Froment,Triticale,Avoine"</formula1>
    </dataValidation>
  </dataValidations>
  <pageMargins left="0.7" right="0.7" top="0.75" bottom="0.75" header="0.3" footer="0.3"/>
  <pageSetup paperSize="9" orientation="portrait" r:id="rId1"/>
  <legacyDrawing r:id="rId2"/>
  <tableParts count="1">
    <tablePart r:id="rId3"/>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5">
    <tabColor rgb="FF92D050"/>
  </sheetPr>
  <dimension ref="B1:P31"/>
  <sheetViews>
    <sheetView showGridLines="0" zoomScale="70" zoomScaleNormal="70" workbookViewId="0">
      <selection activeCell="G19" sqref="G19"/>
    </sheetView>
  </sheetViews>
  <sheetFormatPr baseColWidth="10" defaultRowHeight="14.4" x14ac:dyDescent="0.3"/>
  <cols>
    <col min="1" max="1" width="0.5546875" customWidth="1"/>
    <col min="2" max="2" width="23.5546875" customWidth="1"/>
    <col min="3" max="3" width="35.33203125" customWidth="1"/>
    <col min="4" max="4" width="20" customWidth="1"/>
    <col min="5" max="5" width="25" customWidth="1"/>
    <col min="6" max="6" width="71.109375" customWidth="1"/>
    <col min="7" max="7" width="19.33203125" customWidth="1"/>
    <col min="8" max="8" width="28.77734375" customWidth="1"/>
    <col min="9" max="9" width="31.33203125" customWidth="1"/>
    <col min="10" max="10" width="28.44140625" customWidth="1"/>
    <col min="12" max="12" width="25" customWidth="1"/>
    <col min="13" max="13" width="16.77734375" customWidth="1"/>
    <col min="14" max="14" width="14.21875" customWidth="1"/>
    <col min="15" max="15" width="16.88671875" customWidth="1"/>
    <col min="16" max="16" width="13.6640625" customWidth="1"/>
  </cols>
  <sheetData>
    <row r="1" spans="2:16" s="20" customFormat="1" ht="1.8" customHeight="1" thickBot="1" x14ac:dyDescent="0.35"/>
    <row r="2" spans="2:16" s="20" customFormat="1" ht="26.4" customHeight="1" thickBot="1" x14ac:dyDescent="0.35">
      <c r="B2" s="540" t="s">
        <v>290</v>
      </c>
      <c r="C2" s="541"/>
      <c r="D2" s="541"/>
      <c r="E2" s="541"/>
      <c r="F2" s="541"/>
      <c r="G2" s="541"/>
      <c r="H2" s="541"/>
      <c r="I2" s="541"/>
      <c r="J2" s="542"/>
      <c r="M2" s="191"/>
      <c r="N2" s="190" t="s">
        <v>295</v>
      </c>
      <c r="O2" s="546" t="s">
        <v>296</v>
      </c>
      <c r="P2" s="547"/>
    </row>
    <row r="3" spans="2:16" s="20" customFormat="1" ht="21.6" thickBot="1" x14ac:dyDescent="0.35">
      <c r="B3" s="543"/>
      <c r="C3" s="544"/>
      <c r="D3" s="544"/>
      <c r="E3" s="544"/>
      <c r="F3" s="544"/>
      <c r="G3" s="544"/>
      <c r="H3" s="544"/>
      <c r="I3" s="544"/>
      <c r="J3" s="545"/>
      <c r="L3" s="145" t="s">
        <v>73</v>
      </c>
      <c r="M3" s="145" t="s">
        <v>292</v>
      </c>
      <c r="N3" s="145" t="s">
        <v>84</v>
      </c>
      <c r="O3" s="145" t="s">
        <v>293</v>
      </c>
      <c r="P3" s="145" t="s">
        <v>294</v>
      </c>
    </row>
    <row r="4" spans="2:16" ht="21.6" thickBot="1" x14ac:dyDescent="0.35">
      <c r="B4" s="143" t="s">
        <v>66</v>
      </c>
      <c r="C4" s="144" t="s">
        <v>98</v>
      </c>
      <c r="D4" s="144" t="s">
        <v>1</v>
      </c>
      <c r="E4" s="144" t="s">
        <v>83</v>
      </c>
      <c r="F4" s="144" t="s">
        <v>291</v>
      </c>
      <c r="G4" s="144" t="s">
        <v>69</v>
      </c>
      <c r="H4" s="144" t="s">
        <v>70</v>
      </c>
      <c r="I4" s="144" t="s">
        <v>71</v>
      </c>
      <c r="J4" s="145" t="s">
        <v>72</v>
      </c>
      <c r="L4" s="102" t="s">
        <v>74</v>
      </c>
      <c r="M4" s="150" t="s">
        <v>85</v>
      </c>
      <c r="N4" s="103">
        <f>AVERAGE(6,10)</f>
        <v>8</v>
      </c>
      <c r="O4" s="150" t="s">
        <v>92</v>
      </c>
      <c r="P4" s="104">
        <f>AVERAGE(7,14)</f>
        <v>10.5</v>
      </c>
    </row>
    <row r="5" spans="2:16" ht="18" x14ac:dyDescent="0.35">
      <c r="B5" s="487" t="s">
        <v>306</v>
      </c>
      <c r="C5" s="92"/>
      <c r="D5" s="97"/>
      <c r="E5" s="92"/>
      <c r="F5" s="98"/>
      <c r="G5" s="487" t="s">
        <v>306</v>
      </c>
      <c r="H5" s="132">
        <f t="shared" ref="H5:H30" si="0">($F5/180)*$D5*$E5</f>
        <v>0</v>
      </c>
      <c r="I5" s="96">
        <f>H5*IF(G5="BONNE",1000000,IF(G5="MOYENNE",920000,840000))</f>
        <v>0</v>
      </c>
      <c r="J5" s="99">
        <f>$H5*IF($G5="BONNE",95,IF($G5="MOYENNE",80,65))</f>
        <v>0</v>
      </c>
      <c r="L5" s="105" t="s">
        <v>75</v>
      </c>
      <c r="M5" s="150" t="s">
        <v>86</v>
      </c>
      <c r="N5" s="106">
        <f>AVERAGE(6.5,11)</f>
        <v>8.75</v>
      </c>
      <c r="O5" s="150" t="s">
        <v>93</v>
      </c>
      <c r="P5" s="107">
        <f>AVERAGE(7.5,15)</f>
        <v>11.25</v>
      </c>
    </row>
    <row r="6" spans="2:16" ht="18" x14ac:dyDescent="0.35">
      <c r="B6" s="487" t="s">
        <v>306</v>
      </c>
      <c r="C6" s="92"/>
      <c r="D6" s="97"/>
      <c r="E6" s="92"/>
      <c r="F6" s="98"/>
      <c r="G6" s="487" t="s">
        <v>306</v>
      </c>
      <c r="H6" s="132">
        <f t="shared" si="0"/>
        <v>0</v>
      </c>
      <c r="I6" s="235">
        <f t="shared" ref="I6:I30" si="1">H6*IF(G6="BONNE",1000000,IF(G6="MOYENNE",920000,840000))</f>
        <v>0</v>
      </c>
      <c r="J6" s="234">
        <f t="shared" ref="J6:J30" si="2">$H6*IF($G6="BONNE",95,IF($G6="MOYENNE",80,65))</f>
        <v>0</v>
      </c>
      <c r="L6" s="105" t="s">
        <v>76</v>
      </c>
      <c r="M6" s="150" t="s">
        <v>87</v>
      </c>
      <c r="N6" s="106">
        <f>AVERAGE(6.5,11)</f>
        <v>8.75</v>
      </c>
      <c r="O6" s="150" t="s">
        <v>93</v>
      </c>
      <c r="P6" s="107">
        <f>AVERAGE(7.5,15)</f>
        <v>11.25</v>
      </c>
    </row>
    <row r="7" spans="2:16" ht="18" x14ac:dyDescent="0.35">
      <c r="B7" s="487" t="s">
        <v>306</v>
      </c>
      <c r="C7" s="92"/>
      <c r="D7" s="97"/>
      <c r="E7" s="92"/>
      <c r="F7" s="98"/>
      <c r="G7" s="487" t="s">
        <v>306</v>
      </c>
      <c r="H7" s="132">
        <f t="shared" si="0"/>
        <v>0</v>
      </c>
      <c r="I7" s="235">
        <f t="shared" si="1"/>
        <v>0</v>
      </c>
      <c r="J7" s="234">
        <f t="shared" si="2"/>
        <v>0</v>
      </c>
      <c r="L7" s="105" t="s">
        <v>298</v>
      </c>
      <c r="M7" s="150" t="s">
        <v>88</v>
      </c>
      <c r="N7" s="106">
        <f>AVERAGE(4.5,7)</f>
        <v>5.75</v>
      </c>
      <c r="O7" s="150" t="s">
        <v>94</v>
      </c>
      <c r="P7" s="107">
        <f>AVERAGE(5.5,11)</f>
        <v>8.25</v>
      </c>
    </row>
    <row r="8" spans="2:16" ht="18" x14ac:dyDescent="0.35">
      <c r="B8" s="487" t="s">
        <v>306</v>
      </c>
      <c r="C8" s="92"/>
      <c r="D8" s="97"/>
      <c r="E8" s="92"/>
      <c r="F8" s="98"/>
      <c r="G8" s="487" t="s">
        <v>306</v>
      </c>
      <c r="H8" s="132">
        <f t="shared" si="0"/>
        <v>0</v>
      </c>
      <c r="I8" s="235">
        <f t="shared" si="1"/>
        <v>0</v>
      </c>
      <c r="J8" s="234">
        <f t="shared" si="2"/>
        <v>0</v>
      </c>
      <c r="L8" s="105" t="s">
        <v>77</v>
      </c>
      <c r="M8" s="150" t="s">
        <v>89</v>
      </c>
      <c r="N8" s="106">
        <f>AVERAGE(5,8)</f>
        <v>6.5</v>
      </c>
      <c r="O8" s="150" t="s">
        <v>95</v>
      </c>
      <c r="P8" s="107">
        <f>AVERAGE(6,12)</f>
        <v>9</v>
      </c>
    </row>
    <row r="9" spans="2:16" ht="18" x14ac:dyDescent="0.35">
      <c r="B9" s="487" t="s">
        <v>306</v>
      </c>
      <c r="C9" s="92"/>
      <c r="D9" s="97"/>
      <c r="E9" s="92"/>
      <c r="F9" s="98"/>
      <c r="G9" s="487" t="s">
        <v>306</v>
      </c>
      <c r="H9" s="132">
        <f t="shared" si="0"/>
        <v>0</v>
      </c>
      <c r="I9" s="235">
        <f t="shared" si="1"/>
        <v>0</v>
      </c>
      <c r="J9" s="234">
        <f t="shared" si="2"/>
        <v>0</v>
      </c>
      <c r="L9" s="105" t="s">
        <v>78</v>
      </c>
      <c r="M9" s="150" t="s">
        <v>90</v>
      </c>
      <c r="N9" s="106">
        <f>AVERAGE(5.5,9)</f>
        <v>7.25</v>
      </c>
      <c r="O9" s="150" t="s">
        <v>96</v>
      </c>
      <c r="P9" s="107">
        <f>AVERAGE(6.5,13)</f>
        <v>9.75</v>
      </c>
    </row>
    <row r="10" spans="2:16" ht="18" x14ac:dyDescent="0.35">
      <c r="B10" s="487" t="s">
        <v>306</v>
      </c>
      <c r="C10" s="92"/>
      <c r="D10" s="97"/>
      <c r="E10" s="92"/>
      <c r="F10" s="98"/>
      <c r="G10" s="487" t="s">
        <v>306</v>
      </c>
      <c r="H10" s="132">
        <f t="shared" si="0"/>
        <v>0</v>
      </c>
      <c r="I10" s="235">
        <f t="shared" si="1"/>
        <v>0</v>
      </c>
      <c r="J10" s="234">
        <f t="shared" si="2"/>
        <v>0</v>
      </c>
      <c r="L10" s="105" t="s">
        <v>79</v>
      </c>
      <c r="M10" s="150" t="s">
        <v>86</v>
      </c>
      <c r="N10" s="106">
        <f>N6</f>
        <v>8.75</v>
      </c>
      <c r="O10" s="150" t="s">
        <v>93</v>
      </c>
      <c r="P10" s="107">
        <f>AVERAGE(7.5,15)</f>
        <v>11.25</v>
      </c>
    </row>
    <row r="11" spans="2:16" ht="18" x14ac:dyDescent="0.35">
      <c r="B11" s="487" t="s">
        <v>306</v>
      </c>
      <c r="C11" s="92"/>
      <c r="D11" s="97"/>
      <c r="E11" s="92"/>
      <c r="F11" s="98"/>
      <c r="G11" s="487" t="s">
        <v>306</v>
      </c>
      <c r="H11" s="132">
        <f t="shared" si="0"/>
        <v>0</v>
      </c>
      <c r="I11" s="235">
        <f t="shared" si="1"/>
        <v>0</v>
      </c>
      <c r="J11" s="234">
        <f t="shared" si="2"/>
        <v>0</v>
      </c>
      <c r="L11" s="105" t="s">
        <v>80</v>
      </c>
      <c r="M11" s="150" t="s">
        <v>86</v>
      </c>
      <c r="N11" s="106">
        <f>N10</f>
        <v>8.75</v>
      </c>
      <c r="O11" s="150" t="s">
        <v>93</v>
      </c>
      <c r="P11" s="107">
        <f>P10</f>
        <v>11.25</v>
      </c>
    </row>
    <row r="12" spans="2:16" ht="18" x14ac:dyDescent="0.35">
      <c r="B12" s="487" t="s">
        <v>306</v>
      </c>
      <c r="C12" s="92"/>
      <c r="D12" s="97"/>
      <c r="E12" s="92"/>
      <c r="F12" s="98"/>
      <c r="G12" s="487" t="s">
        <v>306</v>
      </c>
      <c r="H12" s="132">
        <f t="shared" si="0"/>
        <v>0</v>
      </c>
      <c r="I12" s="235">
        <f t="shared" si="1"/>
        <v>0</v>
      </c>
      <c r="J12" s="234">
        <f t="shared" si="2"/>
        <v>0</v>
      </c>
      <c r="L12" s="105" t="s">
        <v>81</v>
      </c>
      <c r="M12" s="150" t="s">
        <v>91</v>
      </c>
      <c r="N12" s="108">
        <f>N13</f>
        <v>9</v>
      </c>
      <c r="O12" s="150" t="s">
        <v>97</v>
      </c>
      <c r="P12" s="107">
        <f>AVERAGE(8,16)</f>
        <v>12</v>
      </c>
    </row>
    <row r="13" spans="2:16" ht="18.600000000000001" thickBot="1" x14ac:dyDescent="0.4">
      <c r="B13" s="487" t="s">
        <v>306</v>
      </c>
      <c r="C13" s="92"/>
      <c r="D13" s="97"/>
      <c r="E13" s="92"/>
      <c r="F13" s="98"/>
      <c r="G13" s="487" t="s">
        <v>306</v>
      </c>
      <c r="H13" s="132">
        <f t="shared" si="0"/>
        <v>0</v>
      </c>
      <c r="I13" s="235">
        <f t="shared" si="1"/>
        <v>0</v>
      </c>
      <c r="J13" s="234">
        <f t="shared" si="2"/>
        <v>0</v>
      </c>
      <c r="L13" s="109" t="s">
        <v>82</v>
      </c>
      <c r="M13" s="150" t="s">
        <v>91</v>
      </c>
      <c r="N13" s="110">
        <f>AVERAGE(7,11)</f>
        <v>9</v>
      </c>
      <c r="O13" s="150" t="s">
        <v>97</v>
      </c>
      <c r="P13" s="111">
        <f>AVERAGE(8,16)</f>
        <v>12</v>
      </c>
    </row>
    <row r="14" spans="2:16" ht="18" x14ac:dyDescent="0.35">
      <c r="B14" s="487" t="s">
        <v>306</v>
      </c>
      <c r="C14" s="92"/>
      <c r="D14" s="97"/>
      <c r="E14" s="92"/>
      <c r="F14" s="98"/>
      <c r="G14" s="487" t="s">
        <v>306</v>
      </c>
      <c r="H14" s="132">
        <f t="shared" si="0"/>
        <v>0</v>
      </c>
      <c r="I14" s="235">
        <f t="shared" si="1"/>
        <v>0</v>
      </c>
      <c r="J14" s="234">
        <f t="shared" si="2"/>
        <v>0</v>
      </c>
    </row>
    <row r="15" spans="2:16" ht="18" x14ac:dyDescent="0.35">
      <c r="B15" s="487" t="s">
        <v>306</v>
      </c>
      <c r="C15" s="92"/>
      <c r="D15" s="97"/>
      <c r="E15" s="92"/>
      <c r="F15" s="98"/>
      <c r="G15" s="487" t="s">
        <v>306</v>
      </c>
      <c r="H15" s="132">
        <f t="shared" si="0"/>
        <v>0</v>
      </c>
      <c r="I15" s="235">
        <f t="shared" si="1"/>
        <v>0</v>
      </c>
      <c r="J15" s="234">
        <f t="shared" si="2"/>
        <v>0</v>
      </c>
    </row>
    <row r="16" spans="2:16" ht="18" x14ac:dyDescent="0.35">
      <c r="B16" s="487" t="s">
        <v>306</v>
      </c>
      <c r="C16" s="92"/>
      <c r="D16" s="97"/>
      <c r="E16" s="92"/>
      <c r="F16" s="98"/>
      <c r="G16" s="487" t="s">
        <v>306</v>
      </c>
      <c r="H16" s="132">
        <f t="shared" si="0"/>
        <v>0</v>
      </c>
      <c r="I16" s="235">
        <f t="shared" si="1"/>
        <v>0</v>
      </c>
      <c r="J16" s="234">
        <f t="shared" si="2"/>
        <v>0</v>
      </c>
    </row>
    <row r="17" spans="2:10" ht="18" x14ac:dyDescent="0.35">
      <c r="B17" s="487" t="s">
        <v>306</v>
      </c>
      <c r="C17" s="92"/>
      <c r="D17" s="97"/>
      <c r="E17" s="92"/>
      <c r="F17" s="98"/>
      <c r="G17" s="487" t="s">
        <v>306</v>
      </c>
      <c r="H17" s="132">
        <f t="shared" si="0"/>
        <v>0</v>
      </c>
      <c r="I17" s="235">
        <f t="shared" si="1"/>
        <v>0</v>
      </c>
      <c r="J17" s="234">
        <f t="shared" si="2"/>
        <v>0</v>
      </c>
    </row>
    <row r="18" spans="2:10" ht="18" x14ac:dyDescent="0.35">
      <c r="B18" s="487" t="s">
        <v>306</v>
      </c>
      <c r="C18" s="92"/>
      <c r="D18" s="97"/>
      <c r="E18" s="92"/>
      <c r="F18" s="98"/>
      <c r="G18" s="487" t="s">
        <v>306</v>
      </c>
      <c r="H18" s="132">
        <f t="shared" si="0"/>
        <v>0</v>
      </c>
      <c r="I18" s="235">
        <f t="shared" si="1"/>
        <v>0</v>
      </c>
      <c r="J18" s="234">
        <f t="shared" si="2"/>
        <v>0</v>
      </c>
    </row>
    <row r="19" spans="2:10" ht="18" x14ac:dyDescent="0.35">
      <c r="B19" s="487" t="s">
        <v>306</v>
      </c>
      <c r="C19" s="92"/>
      <c r="D19" s="97"/>
      <c r="E19" s="92"/>
      <c r="F19" s="98"/>
      <c r="G19" s="487" t="s">
        <v>306</v>
      </c>
      <c r="H19" s="132">
        <f t="shared" si="0"/>
        <v>0</v>
      </c>
      <c r="I19" s="235">
        <f t="shared" si="1"/>
        <v>0</v>
      </c>
      <c r="J19" s="234">
        <f t="shared" si="2"/>
        <v>0</v>
      </c>
    </row>
    <row r="20" spans="2:10" ht="18" x14ac:dyDescent="0.35">
      <c r="B20" s="487" t="s">
        <v>306</v>
      </c>
      <c r="C20" s="92"/>
      <c r="D20" s="97"/>
      <c r="E20" s="92"/>
      <c r="F20" s="98"/>
      <c r="G20" s="487" t="s">
        <v>306</v>
      </c>
      <c r="H20" s="132">
        <f t="shared" si="0"/>
        <v>0</v>
      </c>
      <c r="I20" s="235">
        <f t="shared" si="1"/>
        <v>0</v>
      </c>
      <c r="J20" s="234">
        <f t="shared" si="2"/>
        <v>0</v>
      </c>
    </row>
    <row r="21" spans="2:10" ht="18" x14ac:dyDescent="0.35">
      <c r="B21" s="487" t="s">
        <v>306</v>
      </c>
      <c r="C21" s="92"/>
      <c r="D21" s="97"/>
      <c r="E21" s="92"/>
      <c r="F21" s="98"/>
      <c r="G21" s="487" t="s">
        <v>306</v>
      </c>
      <c r="H21" s="132">
        <f t="shared" si="0"/>
        <v>0</v>
      </c>
      <c r="I21" s="235">
        <f t="shared" si="1"/>
        <v>0</v>
      </c>
      <c r="J21" s="234">
        <f t="shared" si="2"/>
        <v>0</v>
      </c>
    </row>
    <row r="22" spans="2:10" ht="18" x14ac:dyDescent="0.35">
      <c r="B22" s="487" t="s">
        <v>306</v>
      </c>
      <c r="C22" s="92"/>
      <c r="D22" s="97"/>
      <c r="E22" s="92"/>
      <c r="F22" s="98"/>
      <c r="G22" s="487" t="s">
        <v>306</v>
      </c>
      <c r="H22" s="132">
        <f t="shared" si="0"/>
        <v>0</v>
      </c>
      <c r="I22" s="235">
        <f t="shared" si="1"/>
        <v>0</v>
      </c>
      <c r="J22" s="234">
        <f t="shared" si="2"/>
        <v>0</v>
      </c>
    </row>
    <row r="23" spans="2:10" ht="18" x14ac:dyDescent="0.35">
      <c r="B23" s="487" t="s">
        <v>306</v>
      </c>
      <c r="C23" s="92"/>
      <c r="D23" s="97"/>
      <c r="E23" s="92"/>
      <c r="F23" s="98"/>
      <c r="G23" s="487" t="s">
        <v>306</v>
      </c>
      <c r="H23" s="132">
        <f t="shared" si="0"/>
        <v>0</v>
      </c>
      <c r="I23" s="235">
        <f t="shared" si="1"/>
        <v>0</v>
      </c>
      <c r="J23" s="234">
        <f t="shared" si="2"/>
        <v>0</v>
      </c>
    </row>
    <row r="24" spans="2:10" ht="18" x14ac:dyDescent="0.35">
      <c r="B24" s="487" t="s">
        <v>306</v>
      </c>
      <c r="C24" s="92"/>
      <c r="D24" s="97"/>
      <c r="E24" s="92"/>
      <c r="F24" s="98"/>
      <c r="G24" s="487" t="s">
        <v>306</v>
      </c>
      <c r="H24" s="132">
        <f t="shared" si="0"/>
        <v>0</v>
      </c>
      <c r="I24" s="235">
        <f t="shared" si="1"/>
        <v>0</v>
      </c>
      <c r="J24" s="234">
        <f t="shared" si="2"/>
        <v>0</v>
      </c>
    </row>
    <row r="25" spans="2:10" ht="18" x14ac:dyDescent="0.35">
      <c r="B25" s="487" t="s">
        <v>306</v>
      </c>
      <c r="C25" s="92"/>
      <c r="D25" s="97"/>
      <c r="E25" s="92"/>
      <c r="F25" s="98"/>
      <c r="G25" s="487" t="s">
        <v>306</v>
      </c>
      <c r="H25" s="132">
        <f t="shared" si="0"/>
        <v>0</v>
      </c>
      <c r="I25" s="235">
        <f t="shared" si="1"/>
        <v>0</v>
      </c>
      <c r="J25" s="234">
        <f t="shared" si="2"/>
        <v>0</v>
      </c>
    </row>
    <row r="26" spans="2:10" ht="18" x14ac:dyDescent="0.35">
      <c r="B26" s="487" t="s">
        <v>306</v>
      </c>
      <c r="C26" s="92"/>
      <c r="D26" s="97"/>
      <c r="E26" s="92"/>
      <c r="F26" s="98"/>
      <c r="G26" s="487" t="s">
        <v>306</v>
      </c>
      <c r="H26" s="132">
        <f t="shared" si="0"/>
        <v>0</v>
      </c>
      <c r="I26" s="235">
        <f t="shared" si="1"/>
        <v>0</v>
      </c>
      <c r="J26" s="234">
        <f t="shared" si="2"/>
        <v>0</v>
      </c>
    </row>
    <row r="27" spans="2:10" ht="18" x14ac:dyDescent="0.35">
      <c r="B27" s="487" t="s">
        <v>306</v>
      </c>
      <c r="C27" s="92"/>
      <c r="D27" s="97"/>
      <c r="E27" s="92"/>
      <c r="F27" s="98"/>
      <c r="G27" s="487" t="s">
        <v>306</v>
      </c>
      <c r="H27" s="132">
        <f t="shared" si="0"/>
        <v>0</v>
      </c>
      <c r="I27" s="235">
        <f t="shared" si="1"/>
        <v>0</v>
      </c>
      <c r="J27" s="234">
        <f t="shared" si="2"/>
        <v>0</v>
      </c>
    </row>
    <row r="28" spans="2:10" ht="18" x14ac:dyDescent="0.35">
      <c r="B28" s="487" t="s">
        <v>306</v>
      </c>
      <c r="C28" s="92"/>
      <c r="D28" s="97"/>
      <c r="E28" s="92"/>
      <c r="F28" s="98"/>
      <c r="G28" s="487" t="s">
        <v>306</v>
      </c>
      <c r="H28" s="132">
        <f t="shared" si="0"/>
        <v>0</v>
      </c>
      <c r="I28" s="233">
        <f>H28*IF(G28="BONNE",1000000,IF(G28="MOYENNE",920000,840000))</f>
        <v>0</v>
      </c>
      <c r="J28" s="100">
        <f t="shared" si="2"/>
        <v>0</v>
      </c>
    </row>
    <row r="29" spans="2:10" ht="18" x14ac:dyDescent="0.35">
      <c r="B29" s="487" t="s">
        <v>306</v>
      </c>
      <c r="C29" s="92"/>
      <c r="D29" s="97"/>
      <c r="E29" s="92"/>
      <c r="F29" s="98"/>
      <c r="G29" s="487" t="s">
        <v>306</v>
      </c>
      <c r="H29" s="132">
        <f t="shared" si="0"/>
        <v>0</v>
      </c>
      <c r="I29" s="233">
        <f t="shared" si="1"/>
        <v>0</v>
      </c>
      <c r="J29" s="100">
        <f t="shared" si="2"/>
        <v>0</v>
      </c>
    </row>
    <row r="30" spans="2:10" ht="18.600000000000001" thickBot="1" x14ac:dyDescent="0.4">
      <c r="B30" s="487" t="s">
        <v>306</v>
      </c>
      <c r="C30" s="92"/>
      <c r="D30" s="97"/>
      <c r="E30" s="92"/>
      <c r="F30" s="98"/>
      <c r="G30" s="487" t="s">
        <v>306</v>
      </c>
      <c r="H30" s="132">
        <f t="shared" si="0"/>
        <v>0</v>
      </c>
      <c r="I30" s="232">
        <f t="shared" si="1"/>
        <v>0</v>
      </c>
      <c r="J30" s="101">
        <f t="shared" si="2"/>
        <v>0</v>
      </c>
    </row>
    <row r="31" spans="2:10" ht="21.6" thickBot="1" x14ac:dyDescent="0.35">
      <c r="B31" s="143" t="s">
        <v>67</v>
      </c>
      <c r="C31" s="144"/>
      <c r="D31" s="146">
        <f>SUM(D5:D30)</f>
        <v>0</v>
      </c>
      <c r="E31" s="144"/>
      <c r="F31" s="144"/>
      <c r="G31" s="144"/>
      <c r="H31" s="147">
        <f>SUM(H5:H30)</f>
        <v>0</v>
      </c>
      <c r="I31" s="148">
        <f>SUM(I5:I30)</f>
        <v>0</v>
      </c>
      <c r="J31" s="149">
        <f>SUM(J5:J30)</f>
        <v>0</v>
      </c>
    </row>
  </sheetData>
  <sheetProtection sheet="1" formatColumns="0" selectLockedCells="1"/>
  <mergeCells count="2">
    <mergeCell ref="B2:J3"/>
    <mergeCell ref="O2:P2"/>
  </mergeCells>
  <dataValidations count="2">
    <dataValidation type="list" allowBlank="1" showInputMessage="1" showErrorMessage="1" sqref="G5:G30">
      <formula1>"Choisir,Bonne,Moyenne,Médiocre"</formula1>
    </dataValidation>
    <dataValidation type="list" allowBlank="1" showInputMessage="1" showErrorMessage="1" sqref="B5:B30">
      <formula1>"Choisir,Prairie permanente,Prairie temporaire"</formula1>
    </dataValidation>
  </dataValidations>
  <pageMargins left="0.7" right="0.7" top="0.75" bottom="0.75" header="0.3" footer="0.3"/>
  <pageSetup paperSize="9" orientation="portrait" r:id="rId1"/>
  <legacyDrawing r:id="rId2"/>
  <tableParts count="2">
    <tablePart r:id="rId3"/>
    <tablePart r:id="rId4"/>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6">
    <tabColor theme="9"/>
  </sheetPr>
  <dimension ref="B1:I16"/>
  <sheetViews>
    <sheetView showGridLines="0" zoomScale="80" zoomScaleNormal="80" workbookViewId="0">
      <selection activeCell="F8" sqref="F8"/>
    </sheetView>
  </sheetViews>
  <sheetFormatPr baseColWidth="10" defaultRowHeight="14.4" x14ac:dyDescent="0.3"/>
  <cols>
    <col min="1" max="1" width="0.33203125" customWidth="1"/>
    <col min="2" max="2" width="33.77734375" customWidth="1"/>
    <col min="3" max="3" width="19.33203125" customWidth="1"/>
    <col min="4" max="4" width="11.88671875" customWidth="1"/>
    <col min="5" max="5" width="24.5546875" bestFit="1" customWidth="1"/>
    <col min="6" max="6" width="41.44140625" customWidth="1"/>
    <col min="7" max="7" width="42.5546875" customWidth="1"/>
    <col min="8" max="8" width="39.109375" customWidth="1"/>
    <col min="9" max="9" width="40.88671875" bestFit="1" customWidth="1"/>
  </cols>
  <sheetData>
    <row r="1" spans="2:9" s="20" customFormat="1" ht="21.6" customHeight="1" x14ac:dyDescent="0.3"/>
    <row r="2" spans="2:9" ht="26.4" thickBot="1" x14ac:dyDescent="0.55000000000000004">
      <c r="B2" s="548" t="s">
        <v>297</v>
      </c>
      <c r="C2" s="549"/>
      <c r="D2" s="549"/>
      <c r="E2" s="549"/>
      <c r="F2" s="549"/>
      <c r="G2" s="549"/>
      <c r="H2" s="549"/>
      <c r="I2" s="549"/>
    </row>
    <row r="3" spans="2:9" ht="21.6" thickBot="1" x14ac:dyDescent="0.35">
      <c r="B3" s="192" t="s">
        <v>146</v>
      </c>
      <c r="C3" s="193" t="s">
        <v>55</v>
      </c>
      <c r="D3" s="193" t="s">
        <v>59</v>
      </c>
      <c r="E3" s="194" t="s">
        <v>58</v>
      </c>
      <c r="F3" s="194" t="s">
        <v>354</v>
      </c>
      <c r="G3" s="195" t="s">
        <v>276</v>
      </c>
      <c r="H3" s="196" t="s">
        <v>349</v>
      </c>
      <c r="I3" s="197" t="s">
        <v>277</v>
      </c>
    </row>
    <row r="4" spans="2:9" ht="18.600000000000001" thickBot="1" x14ac:dyDescent="0.35">
      <c r="B4" s="122" t="s">
        <v>302</v>
      </c>
      <c r="C4" s="113"/>
      <c r="D4" s="114"/>
      <c r="E4" s="125">
        <f>$C4*$D4</f>
        <v>0</v>
      </c>
      <c r="F4" s="464"/>
      <c r="G4" s="128">
        <f>Tableau51011121510[[#This Row],[VEM/kg de MS]]*Tableau51011121510[[#This Row],[ T de MS]]*1000</f>
        <v>0</v>
      </c>
      <c r="H4" s="119"/>
      <c r="I4" s="129">
        <f>Tableau51011121510[[#This Row],[g de DVE/kg de MS]]*Tableau51011121510[[#This Row],[ T de MS]]</f>
        <v>0</v>
      </c>
    </row>
    <row r="5" spans="2:9" ht="18.600000000000001" thickBot="1" x14ac:dyDescent="0.35">
      <c r="B5" s="123" t="s">
        <v>147</v>
      </c>
      <c r="C5" s="115"/>
      <c r="D5" s="116"/>
      <c r="E5" s="126">
        <f t="shared" ref="E5:E10" si="0">$C5*$D5</f>
        <v>0</v>
      </c>
      <c r="F5" s="465"/>
      <c r="G5" s="128">
        <f>Tableau51011121510[[#This Row],[VEM/kg de MS]]*Tableau51011121510[[#This Row],[ T de MS]]*1000</f>
        <v>0</v>
      </c>
      <c r="H5" s="120"/>
      <c r="I5" s="130">
        <f>Tableau51011121510[[#This Row],[g de DVE/kg de MS]]*Tableau51011121510[[#This Row],[ T de MS]]</f>
        <v>0</v>
      </c>
    </row>
    <row r="6" spans="2:9" ht="18.600000000000001" thickBot="1" x14ac:dyDescent="0.35">
      <c r="B6" s="123" t="s">
        <v>133</v>
      </c>
      <c r="C6" s="115"/>
      <c r="D6" s="116"/>
      <c r="E6" s="126">
        <f t="shared" si="0"/>
        <v>0</v>
      </c>
      <c r="F6" s="465"/>
      <c r="G6" s="128">
        <f>Tableau51011121510[[#This Row],[VEM/kg de MS]]*Tableau51011121510[[#This Row],[ T de MS]]*1000</f>
        <v>0</v>
      </c>
      <c r="H6" s="120"/>
      <c r="I6" s="130">
        <f>Tableau51011121510[[#This Row],[g de DVE/kg de MS]]*Tableau51011121510[[#This Row],[ T de MS]]</f>
        <v>0</v>
      </c>
    </row>
    <row r="7" spans="2:9" ht="18.600000000000001" thickBot="1" x14ac:dyDescent="0.35">
      <c r="B7" s="123" t="s">
        <v>134</v>
      </c>
      <c r="C7" s="115"/>
      <c r="D7" s="116"/>
      <c r="E7" s="126">
        <f>$C7*$D7</f>
        <v>0</v>
      </c>
      <c r="F7" s="465"/>
      <c r="G7" s="128">
        <f>Tableau51011121510[[#This Row],[VEM/kg de MS]]*Tableau51011121510[[#This Row],[ T de MS]]*1000</f>
        <v>0</v>
      </c>
      <c r="H7" s="120"/>
      <c r="I7" s="130">
        <f>Tableau51011121510[[#This Row],[g de DVE/kg de MS]]*Tableau51011121510[[#This Row],[ T de MS]]</f>
        <v>0</v>
      </c>
    </row>
    <row r="8" spans="2:9" ht="18.600000000000001" thickBot="1" x14ac:dyDescent="0.35">
      <c r="B8" s="123" t="s">
        <v>120</v>
      </c>
      <c r="C8" s="115"/>
      <c r="D8" s="116"/>
      <c r="E8" s="126">
        <f t="shared" si="0"/>
        <v>0</v>
      </c>
      <c r="F8" s="465"/>
      <c r="G8" s="128">
        <f>Tableau51011121510[[#This Row],[VEM/kg de MS]]*Tableau51011121510[[#This Row],[ T de MS]]*1000</f>
        <v>0</v>
      </c>
      <c r="H8" s="120"/>
      <c r="I8" s="130">
        <f>Tableau51011121510[[#This Row],[g de DVE/kg de MS]]*Tableau51011121510[[#This Row],[ T de MS]]</f>
        <v>0</v>
      </c>
    </row>
    <row r="9" spans="2:9" ht="18.600000000000001" thickBot="1" x14ac:dyDescent="0.35">
      <c r="B9" s="123" t="s">
        <v>4</v>
      </c>
      <c r="C9" s="115"/>
      <c r="D9" s="116"/>
      <c r="E9" s="126">
        <f t="shared" si="0"/>
        <v>0</v>
      </c>
      <c r="F9" s="465"/>
      <c r="G9" s="128">
        <f>Tableau51011121510[[#This Row],[VEM/kg de MS]]*Tableau51011121510[[#This Row],[ T de MS]]*1000</f>
        <v>0</v>
      </c>
      <c r="H9" s="120"/>
      <c r="I9" s="130">
        <f>Tableau51011121510[[#This Row],[g de DVE/kg de MS]]*Tableau51011121510[[#This Row],[ T de MS]]</f>
        <v>0</v>
      </c>
    </row>
    <row r="10" spans="2:9" ht="18.600000000000001" thickBot="1" x14ac:dyDescent="0.35">
      <c r="B10" s="124" t="s">
        <v>258</v>
      </c>
      <c r="C10" s="117"/>
      <c r="D10" s="118"/>
      <c r="E10" s="127">
        <f t="shared" si="0"/>
        <v>0</v>
      </c>
      <c r="F10" s="466"/>
      <c r="G10" s="128">
        <f>Tableau51011121510[[#This Row],[VEM/kg de MS]]*Tableau51011121510[[#This Row],[ T de MS]]*1000</f>
        <v>0</v>
      </c>
      <c r="H10" s="121"/>
      <c r="I10" s="131">
        <f>Tableau51011121510[[#This Row],[g de DVE/kg de MS]]*Tableau51011121510[[#This Row],[ T de MS]]</f>
        <v>0</v>
      </c>
    </row>
    <row r="11" spans="2:9" ht="21.6" thickBot="1" x14ac:dyDescent="0.35">
      <c r="B11" s="198" t="s">
        <v>5</v>
      </c>
      <c r="C11" s="199">
        <f>SUM(C4:C10)</f>
        <v>0</v>
      </c>
      <c r="D11" s="199"/>
      <c r="E11" s="200">
        <f>SUM(E4:E10)</f>
        <v>0</v>
      </c>
      <c r="F11" s="201"/>
      <c r="G11" s="202">
        <f>SUM(G4:G10)</f>
        <v>0</v>
      </c>
      <c r="H11" s="203"/>
      <c r="I11" s="204">
        <f>SUM(I4:I10)</f>
        <v>0</v>
      </c>
    </row>
    <row r="16" spans="2:9" x14ac:dyDescent="0.3">
      <c r="B16" s="112"/>
    </row>
  </sheetData>
  <sheetProtection sheet="1" formatColumns="0" selectLockedCells="1"/>
  <mergeCells count="1">
    <mergeCell ref="B2:I2"/>
  </mergeCells>
  <pageMargins left="0.7" right="0.7" top="0.75" bottom="0.75" header="0.3" footer="0.3"/>
  <legacyDrawing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theme="9" tint="-0.499984740745262"/>
  </sheetPr>
  <dimension ref="B1:C5"/>
  <sheetViews>
    <sheetView showGridLines="0" zoomScaleNormal="100" workbookViewId="0">
      <selection activeCell="F19" sqref="F19"/>
    </sheetView>
  </sheetViews>
  <sheetFormatPr baseColWidth="10" defaultRowHeight="14.4" x14ac:dyDescent="0.3"/>
  <cols>
    <col min="1" max="1" width="51.5546875" customWidth="1"/>
    <col min="2" max="2" width="22.77734375" customWidth="1"/>
    <col min="3" max="3" width="36.33203125" customWidth="1"/>
  </cols>
  <sheetData>
    <row r="1" spans="2:3" s="20" customFormat="1" ht="52.2" customHeight="1" thickBot="1" x14ac:dyDescent="0.35"/>
    <row r="2" spans="2:3" ht="26.4" thickBot="1" x14ac:dyDescent="0.55000000000000004">
      <c r="B2" s="556" t="s">
        <v>299</v>
      </c>
      <c r="C2" s="557"/>
    </row>
    <row r="3" spans="2:3" ht="25.8" x14ac:dyDescent="0.5">
      <c r="B3" s="552">
        <f>'② Récolte'!H104+'③ Pâturage'!H31+'④ Stock'!E11</f>
        <v>0</v>
      </c>
      <c r="C3" s="553"/>
    </row>
    <row r="4" spans="2:3" ht="25.8" x14ac:dyDescent="0.5">
      <c r="B4" s="550">
        <f>'② Récolte'!J104+'③ Pâturage'!I31+'④ Stock'!G11</f>
        <v>0</v>
      </c>
      <c r="C4" s="551"/>
    </row>
    <row r="5" spans="2:3" ht="26.4" thickBot="1" x14ac:dyDescent="0.55000000000000004">
      <c r="B5" s="554">
        <f>'② Récolte'!L104+'③ Pâturage'!J31+'④ Stock'!I11</f>
        <v>0</v>
      </c>
      <c r="C5" s="555"/>
    </row>
  </sheetData>
  <sheetProtection sheet="1" formatColumns="0" selectLockedCells="1"/>
  <mergeCells count="4">
    <mergeCell ref="B4:C4"/>
    <mergeCell ref="B3:C3"/>
    <mergeCell ref="B5:C5"/>
    <mergeCell ref="B2:C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8">
    <tabColor theme="5" tint="0.39997558519241921"/>
  </sheetPr>
  <dimension ref="B1:L24"/>
  <sheetViews>
    <sheetView showGridLines="0" zoomScale="70" zoomScaleNormal="70" workbookViewId="0">
      <selection activeCell="F11" sqref="F11"/>
    </sheetView>
  </sheetViews>
  <sheetFormatPr baseColWidth="10" defaultRowHeight="14.4" x14ac:dyDescent="0.3"/>
  <cols>
    <col min="1" max="1" width="0.6640625" customWidth="1"/>
    <col min="2" max="2" width="49" bestFit="1" customWidth="1"/>
    <col min="3" max="3" width="23.77734375" bestFit="1" customWidth="1"/>
    <col min="4" max="4" width="35.109375" style="3" customWidth="1"/>
    <col min="5" max="5" width="21.77734375" customWidth="1"/>
    <col min="6" max="6" width="33.109375" style="5" customWidth="1"/>
    <col min="7" max="7" width="46.6640625" style="5" customWidth="1"/>
    <col min="8" max="8" width="32.109375" style="5" customWidth="1"/>
    <col min="9" max="9" width="36.21875" style="5" customWidth="1"/>
    <col min="10" max="10" width="35.77734375" customWidth="1"/>
    <col min="11" max="11" width="46.44140625" customWidth="1"/>
    <col min="12" max="12" width="44" bestFit="1" customWidth="1"/>
  </cols>
  <sheetData>
    <row r="1" spans="2:12" s="20" customFormat="1" ht="3.6" customHeight="1" thickBot="1" x14ac:dyDescent="0.35"/>
    <row r="2" spans="2:12" ht="26.4" thickBot="1" x14ac:dyDescent="0.55000000000000004">
      <c r="B2" s="556" t="s">
        <v>300</v>
      </c>
      <c r="C2" s="558"/>
      <c r="D2" s="558"/>
      <c r="E2" s="558"/>
      <c r="F2" s="558"/>
      <c r="G2" s="558"/>
      <c r="H2" s="558"/>
      <c r="I2" s="558"/>
      <c r="J2" s="558"/>
      <c r="K2" s="558"/>
      <c r="L2" s="557"/>
    </row>
    <row r="3" spans="2:12" ht="21.6" thickBot="1" x14ac:dyDescent="0.45">
      <c r="B3" s="157" t="s">
        <v>245</v>
      </c>
      <c r="C3" s="158" t="s">
        <v>19</v>
      </c>
      <c r="D3" s="159" t="s">
        <v>352</v>
      </c>
      <c r="E3" s="159" t="s">
        <v>22</v>
      </c>
      <c r="F3" s="159" t="s">
        <v>35</v>
      </c>
      <c r="G3" s="159" t="s">
        <v>29</v>
      </c>
      <c r="H3" s="159" t="s">
        <v>301</v>
      </c>
      <c r="I3" s="159" t="s">
        <v>243</v>
      </c>
      <c r="J3" s="159" t="s">
        <v>30</v>
      </c>
      <c r="K3" s="188" t="s">
        <v>31</v>
      </c>
      <c r="L3" s="189" t="s">
        <v>32</v>
      </c>
    </row>
    <row r="4" spans="2:12" ht="18" x14ac:dyDescent="0.35">
      <c r="B4" s="171" t="s">
        <v>25</v>
      </c>
      <c r="C4" s="115"/>
      <c r="D4" s="175">
        <v>1</v>
      </c>
      <c r="E4" s="176">
        <f>$C4*$D4</f>
        <v>0</v>
      </c>
      <c r="F4" s="151"/>
      <c r="G4" s="154"/>
      <c r="H4" s="155"/>
      <c r="I4" s="155"/>
      <c r="J4" s="162">
        <f>(1.4*(($F4/100)+2)+(0.37*$G4))*$C4*365</f>
        <v>0</v>
      </c>
      <c r="K4" s="163">
        <f>(((6.45*$F4+1265)+(442*(0.337+(0.116*$H4)+(0.06*$I4))*$G4))*IF(G4&gt;15,(1+(0.00165*(((0.337+(0.116*$H4)+(0.06*$I4))*$G4)-15))),1))*$C4*365</f>
        <v>0</v>
      </c>
      <c r="L4" s="164">
        <f>(($F4/10)+54+(1.396*($G4*$I4*10))+(0.000195*(($G4*$I4*10)*($G4*$I4*10))))*$C4*365</f>
        <v>0</v>
      </c>
    </row>
    <row r="5" spans="2:12" ht="18" x14ac:dyDescent="0.35">
      <c r="B5" s="172" t="s">
        <v>20</v>
      </c>
      <c r="C5" s="115"/>
      <c r="D5" s="177">
        <v>1</v>
      </c>
      <c r="E5" s="176">
        <f t="shared" ref="E5:E16" si="0">$C5*$D5</f>
        <v>0</v>
      </c>
      <c r="F5" s="152"/>
      <c r="G5" s="156"/>
      <c r="H5" s="155"/>
      <c r="I5" s="155"/>
      <c r="J5" s="162">
        <f>(1.4*(($F5/100)+2)+(0.37*$G5))*$C5*365</f>
        <v>0</v>
      </c>
      <c r="K5" s="163">
        <f>(((6.45*$F5+1265)+(442*(0.337+(0.116*$H5)+(0.06*$I5))*$G5))*IF(G5&gt;15,(1+(0.00165*(((0.337+(0.116*$H5)+(0.06*$I5))*$G5)-15))),1))*$C5*365</f>
        <v>0</v>
      </c>
      <c r="L5" s="164">
        <f>(($F5/10)+54+(1.396*($G5*$I5*10))+(0.000195*(($G5*$I5*10)^2)))*$C5*365</f>
        <v>0</v>
      </c>
    </row>
    <row r="6" spans="2:12" s="5" customFormat="1" ht="18" x14ac:dyDescent="0.35">
      <c r="B6" s="172" t="s">
        <v>33</v>
      </c>
      <c r="C6" s="115"/>
      <c r="D6" s="177">
        <v>0.85</v>
      </c>
      <c r="E6" s="176">
        <f t="shared" si="0"/>
        <v>0</v>
      </c>
      <c r="F6" s="152"/>
      <c r="G6" s="167" t="s">
        <v>26</v>
      </c>
      <c r="H6" s="168" t="s">
        <v>26</v>
      </c>
      <c r="I6" s="168" t="s">
        <v>26</v>
      </c>
      <c r="J6" s="162">
        <f>((1.4*(($F6/100)+2))-1.5)*$C6*365</f>
        <v>0</v>
      </c>
      <c r="K6" s="163">
        <f>((6.45*$F6)+1500)*$C6*365</f>
        <v>0</v>
      </c>
      <c r="L6" s="165">
        <f>(($F6/10)+177)*$C6*365</f>
        <v>0</v>
      </c>
    </row>
    <row r="7" spans="2:12" ht="18" x14ac:dyDescent="0.35">
      <c r="B7" s="172" t="s">
        <v>34</v>
      </c>
      <c r="C7" s="115"/>
      <c r="D7" s="178">
        <v>0.85</v>
      </c>
      <c r="E7" s="176">
        <f t="shared" si="0"/>
        <v>0</v>
      </c>
      <c r="F7" s="152"/>
      <c r="G7" s="169" t="s">
        <v>26</v>
      </c>
      <c r="H7" s="169" t="s">
        <v>26</v>
      </c>
      <c r="I7" s="169" t="s">
        <v>26</v>
      </c>
      <c r="J7" s="162">
        <f>((1.4*(($F7/100)+2))-1.5)*$C7*365</f>
        <v>0</v>
      </c>
      <c r="K7" s="163">
        <f>((6.45*$F7)+1500)*$C7*365</f>
        <v>0</v>
      </c>
      <c r="L7" s="165">
        <f>(($F7/10)+177)*$C7*365</f>
        <v>0</v>
      </c>
    </row>
    <row r="8" spans="2:12" ht="18" x14ac:dyDescent="0.35">
      <c r="B8" s="173" t="s">
        <v>131</v>
      </c>
      <c r="C8" s="115"/>
      <c r="D8" s="178">
        <v>0.3</v>
      </c>
      <c r="E8" s="176">
        <f t="shared" si="0"/>
        <v>0</v>
      </c>
      <c r="F8" s="153"/>
      <c r="G8" s="170" t="s">
        <v>26</v>
      </c>
      <c r="H8" s="169" t="s">
        <v>26</v>
      </c>
      <c r="I8" s="169" t="s">
        <v>26</v>
      </c>
      <c r="J8" s="162">
        <f t="shared" ref="J8:J16" si="1">(1.4*(($F$5/100)+2))*$E8*365</f>
        <v>0</v>
      </c>
      <c r="K8" s="166">
        <f t="shared" ref="K8:K16" si="2">((6.45*$F$5)+1265)*$E8*365</f>
        <v>0</v>
      </c>
      <c r="L8" s="165">
        <f t="shared" ref="L8:L16" si="3">(($F$5/10)+54)*$E8*365</f>
        <v>0</v>
      </c>
    </row>
    <row r="9" spans="2:12" ht="18" x14ac:dyDescent="0.35">
      <c r="B9" s="172" t="s">
        <v>244</v>
      </c>
      <c r="C9" s="115"/>
      <c r="D9" s="178">
        <v>0.6</v>
      </c>
      <c r="E9" s="176">
        <f t="shared" si="0"/>
        <v>0</v>
      </c>
      <c r="F9" s="152"/>
      <c r="G9" s="169" t="s">
        <v>26</v>
      </c>
      <c r="H9" s="169" t="s">
        <v>26</v>
      </c>
      <c r="I9" s="169" t="s">
        <v>26</v>
      </c>
      <c r="J9" s="162">
        <f t="shared" si="1"/>
        <v>0</v>
      </c>
      <c r="K9" s="166">
        <f t="shared" si="2"/>
        <v>0</v>
      </c>
      <c r="L9" s="165">
        <f t="shared" si="3"/>
        <v>0</v>
      </c>
    </row>
    <row r="10" spans="2:12" ht="18" x14ac:dyDescent="0.35">
      <c r="B10" s="172" t="s">
        <v>23</v>
      </c>
      <c r="C10" s="115"/>
      <c r="D10" s="178">
        <v>0.8</v>
      </c>
      <c r="E10" s="176">
        <f t="shared" si="0"/>
        <v>0</v>
      </c>
      <c r="F10" s="152"/>
      <c r="G10" s="169" t="s">
        <v>26</v>
      </c>
      <c r="H10" s="169" t="s">
        <v>26</v>
      </c>
      <c r="I10" s="169" t="s">
        <v>26</v>
      </c>
      <c r="J10" s="162">
        <f t="shared" si="1"/>
        <v>0</v>
      </c>
      <c r="K10" s="166">
        <f t="shared" si="2"/>
        <v>0</v>
      </c>
      <c r="L10" s="165">
        <f t="shared" si="3"/>
        <v>0</v>
      </c>
    </row>
    <row r="11" spans="2:12" ht="18" x14ac:dyDescent="0.35">
      <c r="B11" s="172" t="s">
        <v>24</v>
      </c>
      <c r="C11" s="115"/>
      <c r="D11" s="178">
        <v>1</v>
      </c>
      <c r="E11" s="176">
        <f t="shared" si="0"/>
        <v>0</v>
      </c>
      <c r="F11" s="152"/>
      <c r="G11" s="169" t="s">
        <v>26</v>
      </c>
      <c r="H11" s="169" t="s">
        <v>26</v>
      </c>
      <c r="I11" s="169" t="s">
        <v>26</v>
      </c>
      <c r="J11" s="162">
        <f t="shared" si="1"/>
        <v>0</v>
      </c>
      <c r="K11" s="166">
        <f t="shared" si="2"/>
        <v>0</v>
      </c>
      <c r="L11" s="165">
        <f t="shared" si="3"/>
        <v>0</v>
      </c>
    </row>
    <row r="12" spans="2:12" ht="18" x14ac:dyDescent="0.35">
      <c r="B12" s="172" t="s">
        <v>17</v>
      </c>
      <c r="C12" s="115"/>
      <c r="D12" s="178">
        <v>0.3</v>
      </c>
      <c r="E12" s="176">
        <f t="shared" si="0"/>
        <v>0</v>
      </c>
      <c r="F12" s="152"/>
      <c r="G12" s="169" t="s">
        <v>26</v>
      </c>
      <c r="H12" s="169" t="s">
        <v>26</v>
      </c>
      <c r="I12" s="169" t="s">
        <v>26</v>
      </c>
      <c r="J12" s="162">
        <f t="shared" si="1"/>
        <v>0</v>
      </c>
      <c r="K12" s="166">
        <f t="shared" si="2"/>
        <v>0</v>
      </c>
      <c r="L12" s="165">
        <f t="shared" si="3"/>
        <v>0</v>
      </c>
    </row>
    <row r="13" spans="2:12" ht="18" x14ac:dyDescent="0.35">
      <c r="B13" s="172" t="s">
        <v>18</v>
      </c>
      <c r="C13" s="115"/>
      <c r="D13" s="178">
        <v>0.75</v>
      </c>
      <c r="E13" s="176">
        <f t="shared" si="0"/>
        <v>0</v>
      </c>
      <c r="F13" s="152"/>
      <c r="G13" s="169" t="s">
        <v>26</v>
      </c>
      <c r="H13" s="169" t="s">
        <v>26</v>
      </c>
      <c r="I13" s="169" t="s">
        <v>26</v>
      </c>
      <c r="J13" s="162">
        <f t="shared" si="1"/>
        <v>0</v>
      </c>
      <c r="K13" s="166">
        <f t="shared" si="2"/>
        <v>0</v>
      </c>
      <c r="L13" s="165">
        <f t="shared" si="3"/>
        <v>0</v>
      </c>
    </row>
    <row r="14" spans="2:12" ht="18" x14ac:dyDescent="0.35">
      <c r="B14" s="172" t="s">
        <v>21</v>
      </c>
      <c r="C14" s="115"/>
      <c r="D14" s="178">
        <v>0.3</v>
      </c>
      <c r="E14" s="176">
        <f t="shared" si="0"/>
        <v>0</v>
      </c>
      <c r="F14" s="152"/>
      <c r="G14" s="169" t="s">
        <v>26</v>
      </c>
      <c r="H14" s="169" t="s">
        <v>26</v>
      </c>
      <c r="I14" s="169" t="s">
        <v>26</v>
      </c>
      <c r="J14" s="162">
        <f t="shared" si="1"/>
        <v>0</v>
      </c>
      <c r="K14" s="166">
        <f t="shared" si="2"/>
        <v>0</v>
      </c>
      <c r="L14" s="165">
        <f t="shared" si="3"/>
        <v>0</v>
      </c>
    </row>
    <row r="15" spans="2:12" ht="18" x14ac:dyDescent="0.35">
      <c r="B15" s="172" t="s">
        <v>27</v>
      </c>
      <c r="C15" s="115"/>
      <c r="D15" s="178">
        <v>0.6</v>
      </c>
      <c r="E15" s="176">
        <f t="shared" si="0"/>
        <v>0</v>
      </c>
      <c r="F15" s="152"/>
      <c r="G15" s="169" t="s">
        <v>26</v>
      </c>
      <c r="H15" s="169" t="s">
        <v>26</v>
      </c>
      <c r="I15" s="169" t="s">
        <v>26</v>
      </c>
      <c r="J15" s="162">
        <f t="shared" si="1"/>
        <v>0</v>
      </c>
      <c r="K15" s="166">
        <f t="shared" si="2"/>
        <v>0</v>
      </c>
      <c r="L15" s="165">
        <f t="shared" si="3"/>
        <v>0</v>
      </c>
    </row>
    <row r="16" spans="2:12" ht="18.600000000000001" thickBot="1" x14ac:dyDescent="0.4">
      <c r="B16" s="174" t="s">
        <v>28</v>
      </c>
      <c r="C16" s="115"/>
      <c r="D16" s="178">
        <v>0.8</v>
      </c>
      <c r="E16" s="176">
        <f t="shared" si="0"/>
        <v>0</v>
      </c>
      <c r="F16" s="153"/>
      <c r="G16" s="170" t="s">
        <v>26</v>
      </c>
      <c r="H16" s="169" t="s">
        <v>26</v>
      </c>
      <c r="I16" s="169" t="s">
        <v>26</v>
      </c>
      <c r="J16" s="162">
        <f t="shared" si="1"/>
        <v>0</v>
      </c>
      <c r="K16" s="166">
        <f t="shared" si="2"/>
        <v>0</v>
      </c>
      <c r="L16" s="165">
        <f t="shared" si="3"/>
        <v>0</v>
      </c>
    </row>
    <row r="17" spans="2:12" ht="21" x14ac:dyDescent="0.4">
      <c r="B17" s="179" t="s">
        <v>5</v>
      </c>
      <c r="C17" s="180">
        <f>SUM(C4:C16)</f>
        <v>0</v>
      </c>
      <c r="D17" s="181"/>
      <c r="E17" s="182">
        <f>SUM(E4:E16)</f>
        <v>0</v>
      </c>
      <c r="F17" s="182"/>
      <c r="G17" s="183" t="str">
        <f>IF(AND(G4="",G5=""),"",AVERAGE(G4,G5))</f>
        <v/>
      </c>
      <c r="H17" s="184" t="str">
        <f>IF(AND(H4="",H5=""),"",AVERAGE(H4:H5))</f>
        <v/>
      </c>
      <c r="I17" s="184" t="str">
        <f>IF(AND(I4="",I5=""),"",AVERAGE(I4:I5))</f>
        <v/>
      </c>
      <c r="J17" s="185">
        <f>SUM(J4:J16)</f>
        <v>0</v>
      </c>
      <c r="K17" s="186">
        <f>SUM(K4:K16)</f>
        <v>0</v>
      </c>
      <c r="L17" s="187">
        <f>SUM(L4:L16)</f>
        <v>0</v>
      </c>
    </row>
    <row r="18" spans="2:12" x14ac:dyDescent="0.3">
      <c r="B18" s="4"/>
    </row>
    <row r="22" spans="2:12" x14ac:dyDescent="0.3">
      <c r="D22"/>
      <c r="E22" s="3"/>
    </row>
    <row r="23" spans="2:12" x14ac:dyDescent="0.3">
      <c r="B23" s="20"/>
      <c r="C23" s="20"/>
      <c r="D23"/>
      <c r="E23" s="3"/>
    </row>
    <row r="24" spans="2:12" x14ac:dyDescent="0.3">
      <c r="B24" s="20"/>
      <c r="C24" s="20"/>
      <c r="D24"/>
      <c r="E24" s="3"/>
    </row>
  </sheetData>
  <sheetProtection sheet="1" formatColumns="0" selectLockedCells="1"/>
  <mergeCells count="1">
    <mergeCell ref="B2:L2"/>
  </mergeCells>
  <dataValidations count="1">
    <dataValidation type="list" allowBlank="1" showInputMessage="1" showErrorMessage="1" sqref="C24">
      <formula1>"Holstein Pie noire, Holstein Pie rouge, Normande, Jersey, ontbéliarde, Simentale, Brune de Suisse, BBB mixte"</formula1>
    </dataValidation>
  </dataValidations>
  <pageMargins left="0.7" right="0.7" top="0.75" bottom="0.75" header="0.3" footer="0.3"/>
  <pageSetup paperSize="9" orientation="portrait" r:id="rId1"/>
  <legacy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7E4F923B9A1A94D8DCDA77A76762B0E" ma:contentTypeVersion="10" ma:contentTypeDescription="Crée un document." ma:contentTypeScope="" ma:versionID="1f4be3b890d34297c7990b2991bc2bec">
  <xsd:schema xmlns:xsd="http://www.w3.org/2001/XMLSchema" xmlns:xs="http://www.w3.org/2001/XMLSchema" xmlns:p="http://schemas.microsoft.com/office/2006/metadata/properties" xmlns:ns2="8dd17b5e-b1c9-457c-a35a-a6423ff008e9" xmlns:ns3="cbe7a469-5e8e-493e-9c78-c0a7502a2544" targetNamespace="http://schemas.microsoft.com/office/2006/metadata/properties" ma:root="true" ma:fieldsID="7b27d0d2cf8c2b02d1daf330f66122d7" ns2:_="" ns3:_="">
    <xsd:import namespace="8dd17b5e-b1c9-457c-a35a-a6423ff008e9"/>
    <xsd:import namespace="cbe7a469-5e8e-493e-9c78-c0a7502a254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d17b5e-b1c9-457c-a35a-a6423ff008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e7a469-5e8e-493e-9c78-c0a7502a2544" elementFormDefault="qualified">
    <xsd:import namespace="http://schemas.microsoft.com/office/2006/documentManagement/types"/>
    <xsd:import namespace="http://schemas.microsoft.com/office/infopath/2007/PartnerControls"/>
    <xsd:element name="SharedWithUsers" ma:index="14"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598D0F6-A88A-435A-9C7B-9034AD1D99EF}">
  <ds:schemaRefs>
    <ds:schemaRef ds:uri="http://schemas.microsoft.com/sharepoint/v3/contenttype/forms"/>
  </ds:schemaRefs>
</ds:datastoreItem>
</file>

<file path=customXml/itemProps2.xml><?xml version="1.0" encoding="utf-8"?>
<ds:datastoreItem xmlns:ds="http://schemas.openxmlformats.org/officeDocument/2006/customXml" ds:itemID="{0EAF5B95-099D-4116-A473-FE7DE0A984A9}">
  <ds:schemaRefs>
    <ds:schemaRef ds:uri="http://schemas.microsoft.com/office/2006/documentManagement/types"/>
    <ds:schemaRef ds:uri="8dd17b5e-b1c9-457c-a35a-a6423ff008e9"/>
    <ds:schemaRef ds:uri="cbe7a469-5e8e-493e-9c78-c0a7502a2544"/>
    <ds:schemaRef ds:uri="http://schemas.microsoft.com/office/2006/metadata/properties"/>
    <ds:schemaRef ds:uri="http://purl.org/dc/elements/1.1/"/>
    <ds:schemaRef ds:uri="http://purl.org/dc/term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D729E28C-118B-4DD7-AD73-1313D28469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d17b5e-b1c9-457c-a35a-a6423ff008e9"/>
    <ds:schemaRef ds:uri="cbe7a469-5e8e-493e-9c78-c0a7502a25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16</vt:i4>
      </vt:variant>
    </vt:vector>
  </HeadingPairs>
  <TitlesOfParts>
    <vt:vector size="16" baseType="lpstr">
      <vt:lpstr>Accueil</vt:lpstr>
      <vt:lpstr>Fonctionnement</vt:lpstr>
      <vt:lpstr>Introduction</vt:lpstr>
      <vt:lpstr>① Assolement </vt:lpstr>
      <vt:lpstr>② Récolte</vt:lpstr>
      <vt:lpstr>③ Pâturage</vt:lpstr>
      <vt:lpstr>④ Stock</vt:lpstr>
      <vt:lpstr>⑤ Production fourragère</vt:lpstr>
      <vt:lpstr>⑥ Troupeau laitier </vt:lpstr>
      <vt:lpstr>⑦ Troupeau viandeux</vt:lpstr>
      <vt:lpstr>⑧ Taux de chargement</vt:lpstr>
      <vt:lpstr>⑨ Coûts de production</vt:lpstr>
      <vt:lpstr>⑩ Achats</vt:lpstr>
      <vt:lpstr>⑪ Efficience économique</vt:lpstr>
      <vt:lpstr>⑫ Niveau d'autonomie</vt:lpstr>
      <vt:lpstr>Annexe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Sacha</dc:creator>
  <cp:lastModifiedBy>user</cp:lastModifiedBy>
  <cp:lastPrinted>2018-03-21T08:27:02Z</cp:lastPrinted>
  <dcterms:created xsi:type="dcterms:W3CDTF">2018-03-20T10:46:47Z</dcterms:created>
  <dcterms:modified xsi:type="dcterms:W3CDTF">2019-09-30T10:11:00Z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0x010100E7E4F923B9A1A94D8DCDA77A76762B0E</vt:lpwstr>
  </property>
</Properties>
</file>